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Y WEBSITE\poslovanje\_private\"/>
    </mc:Choice>
  </mc:AlternateContent>
  <bookViews>
    <workbookView xWindow="0" yWindow="0" windowWidth="23040" windowHeight="9408" activeTab="1"/>
  </bookViews>
  <sheets>
    <sheet name="NAVODILA" sheetId="4" r:id="rId1"/>
    <sheet name="Plača" sheetId="1" r:id="rId2"/>
    <sheet name="Lestvica" sheetId="2" r:id="rId3"/>
    <sheet name="Olajšave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B75" i="1"/>
  <c r="H74" i="1"/>
  <c r="E73" i="1"/>
  <c r="G73" i="1" s="1"/>
  <c r="H73" i="1" s="1"/>
  <c r="C73" i="1"/>
  <c r="E72" i="1"/>
  <c r="G72" i="1" s="1"/>
  <c r="C72" i="1"/>
  <c r="E71" i="1"/>
  <c r="G71" i="1" s="1"/>
  <c r="H71" i="1" s="1"/>
  <c r="C71" i="1"/>
  <c r="E70" i="1"/>
  <c r="G70" i="1" s="1"/>
  <c r="C70" i="1"/>
  <c r="E69" i="1"/>
  <c r="G69" i="1" s="1"/>
  <c r="C69" i="1"/>
  <c r="E68" i="1"/>
  <c r="G68" i="1" s="1"/>
  <c r="C68" i="1"/>
  <c r="E67" i="1"/>
  <c r="G67" i="1" s="1"/>
  <c r="C67" i="1"/>
  <c r="E66" i="1"/>
  <c r="G66" i="1" s="1"/>
  <c r="C66" i="1"/>
  <c r="E65" i="1"/>
  <c r="G65" i="1" s="1"/>
  <c r="H65" i="1" s="1"/>
  <c r="C65" i="1"/>
  <c r="E64" i="1"/>
  <c r="G64" i="1" s="1"/>
  <c r="C64" i="1"/>
  <c r="E63" i="1"/>
  <c r="G63" i="1" s="1"/>
  <c r="C63" i="1"/>
  <c r="E62" i="1"/>
  <c r="G62" i="1" s="1"/>
  <c r="C62" i="1"/>
  <c r="H66" i="1" l="1"/>
  <c r="H70" i="1"/>
  <c r="C75" i="1"/>
  <c r="H67" i="1"/>
  <c r="N67" i="1" s="1"/>
  <c r="H69" i="1"/>
  <c r="I69" i="1" s="1"/>
  <c r="G75" i="1"/>
  <c r="I71" i="1"/>
  <c r="N71" i="1"/>
  <c r="J71" i="1"/>
  <c r="N66" i="1"/>
  <c r="J66" i="1"/>
  <c r="I66" i="1"/>
  <c r="N73" i="1"/>
  <c r="J73" i="1"/>
  <c r="I73" i="1"/>
  <c r="I67" i="1"/>
  <c r="I65" i="1"/>
  <c r="N65" i="1"/>
  <c r="J65" i="1"/>
  <c r="N70" i="1"/>
  <c r="J70" i="1"/>
  <c r="I70" i="1"/>
  <c r="E75" i="1"/>
  <c r="H62" i="1"/>
  <c r="H63" i="1"/>
  <c r="H64" i="1"/>
  <c r="H68" i="1"/>
  <c r="H72" i="1"/>
  <c r="F18" i="1"/>
  <c r="B18" i="1"/>
  <c r="H17" i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5" i="1"/>
  <c r="C6" i="1"/>
  <c r="C7" i="1"/>
  <c r="C8" i="1"/>
  <c r="C9" i="1"/>
  <c r="C10" i="1"/>
  <c r="C11" i="1"/>
  <c r="C12" i="1"/>
  <c r="C13" i="1"/>
  <c r="C14" i="1"/>
  <c r="C15" i="1"/>
  <c r="C16" i="1"/>
  <c r="C5" i="1"/>
  <c r="D2" i="3"/>
  <c r="E3" i="3"/>
  <c r="F3" i="3"/>
  <c r="E4" i="3"/>
  <c r="F4" i="3"/>
  <c r="D4" i="3"/>
  <c r="D3" i="3"/>
  <c r="F2" i="3"/>
  <c r="E2" i="3"/>
  <c r="A4" i="3"/>
  <c r="A3" i="3"/>
  <c r="C11" i="2"/>
  <c r="A11" i="2"/>
  <c r="C10" i="2"/>
  <c r="B10" i="2"/>
  <c r="A10" i="2"/>
  <c r="C9" i="2"/>
  <c r="B9" i="2"/>
  <c r="A9" i="2"/>
  <c r="C8" i="2"/>
  <c r="B8" i="2"/>
  <c r="A8" i="2"/>
  <c r="A4" i="2"/>
  <c r="A3" i="2"/>
  <c r="J67" i="1" l="1"/>
  <c r="J69" i="1"/>
  <c r="N69" i="1"/>
  <c r="K70" i="1"/>
  <c r="L70" i="1" s="1"/>
  <c r="K71" i="1"/>
  <c r="L71" i="1" s="1"/>
  <c r="P71" i="1"/>
  <c r="O71" i="1"/>
  <c r="N64" i="1"/>
  <c r="J64" i="1"/>
  <c r="I64" i="1"/>
  <c r="O67" i="1"/>
  <c r="P67" i="1"/>
  <c r="O73" i="1"/>
  <c r="P73" i="1"/>
  <c r="P66" i="1"/>
  <c r="O66" i="1"/>
  <c r="O69" i="1"/>
  <c r="P69" i="1"/>
  <c r="I63" i="1"/>
  <c r="N63" i="1"/>
  <c r="J63" i="1"/>
  <c r="O65" i="1"/>
  <c r="P65" i="1"/>
  <c r="K67" i="1"/>
  <c r="L67" i="1" s="1"/>
  <c r="K69" i="1"/>
  <c r="L69" i="1" s="1"/>
  <c r="J68" i="1"/>
  <c r="I68" i="1"/>
  <c r="N68" i="1"/>
  <c r="N72" i="1"/>
  <c r="J72" i="1"/>
  <c r="I72" i="1"/>
  <c r="H75" i="1"/>
  <c r="N62" i="1"/>
  <c r="J62" i="1"/>
  <c r="I62" i="1"/>
  <c r="P70" i="1"/>
  <c r="O70" i="1"/>
  <c r="K65" i="1"/>
  <c r="L65" i="1" s="1"/>
  <c r="K73" i="1"/>
  <c r="L73" i="1" s="1"/>
  <c r="K66" i="1"/>
  <c r="L66" i="1" s="1"/>
  <c r="E18" i="1"/>
  <c r="G5" i="1"/>
  <c r="G18" i="1" s="1"/>
  <c r="H16" i="1"/>
  <c r="I16" i="1" s="1"/>
  <c r="H12" i="1"/>
  <c r="N12" i="1" s="1"/>
  <c r="O12" i="1" s="1"/>
  <c r="H8" i="1"/>
  <c r="N8" i="1" s="1"/>
  <c r="O8" i="1" s="1"/>
  <c r="H15" i="1"/>
  <c r="H11" i="1"/>
  <c r="H7" i="1"/>
  <c r="H14" i="1"/>
  <c r="H10" i="1"/>
  <c r="H6" i="1"/>
  <c r="H13" i="1"/>
  <c r="H9" i="1"/>
  <c r="C18" i="1"/>
  <c r="B54" i="1" s="1"/>
  <c r="Q70" i="1" l="1"/>
  <c r="M70" i="1" s="1"/>
  <c r="K72" i="1"/>
  <c r="L72" i="1" s="1"/>
  <c r="K68" i="1"/>
  <c r="L68" i="1" s="1"/>
  <c r="Q71" i="1"/>
  <c r="M71" i="1" s="1"/>
  <c r="Q69" i="1"/>
  <c r="M69" i="1" s="1"/>
  <c r="Q73" i="1"/>
  <c r="Q66" i="1"/>
  <c r="M66" i="1" s="1"/>
  <c r="P64" i="1"/>
  <c r="O64" i="1"/>
  <c r="P72" i="1"/>
  <c r="O72" i="1"/>
  <c r="O63" i="1"/>
  <c r="P63" i="1"/>
  <c r="I75" i="1"/>
  <c r="K62" i="1"/>
  <c r="Q67" i="1"/>
  <c r="M67" i="1" s="1"/>
  <c r="P62" i="1"/>
  <c r="O62" i="1"/>
  <c r="P68" i="1"/>
  <c r="O68" i="1"/>
  <c r="K63" i="1"/>
  <c r="L63" i="1" s="1"/>
  <c r="J75" i="1"/>
  <c r="Q65" i="1"/>
  <c r="M65" i="1" s="1"/>
  <c r="K64" i="1"/>
  <c r="L64" i="1" s="1"/>
  <c r="N16" i="1"/>
  <c r="P16" i="1" s="1"/>
  <c r="H5" i="1"/>
  <c r="N5" i="1" s="1"/>
  <c r="J16" i="1"/>
  <c r="K16" i="1" s="1"/>
  <c r="L16" i="1" s="1"/>
  <c r="J5" i="1"/>
  <c r="P8" i="1"/>
  <c r="Q8" i="1" s="1"/>
  <c r="M8" i="1" s="1"/>
  <c r="I8" i="1"/>
  <c r="I12" i="1"/>
  <c r="J12" i="1"/>
  <c r="P12" i="1"/>
  <c r="Q12" i="1" s="1"/>
  <c r="M12" i="1" s="1"/>
  <c r="J8" i="1"/>
  <c r="N13" i="1"/>
  <c r="I13" i="1"/>
  <c r="J13" i="1"/>
  <c r="J6" i="1"/>
  <c r="N6" i="1"/>
  <c r="I6" i="1"/>
  <c r="J11" i="1"/>
  <c r="N11" i="1"/>
  <c r="I11" i="1"/>
  <c r="H18" i="1"/>
  <c r="C21" i="1" s="1"/>
  <c r="N10" i="1"/>
  <c r="I10" i="1"/>
  <c r="J10" i="1"/>
  <c r="J15" i="1"/>
  <c r="N15" i="1"/>
  <c r="I15" i="1"/>
  <c r="J14" i="1"/>
  <c r="N14" i="1"/>
  <c r="I14" i="1"/>
  <c r="N9" i="1"/>
  <c r="I9" i="1"/>
  <c r="J9" i="1"/>
  <c r="J7" i="1"/>
  <c r="N7" i="1"/>
  <c r="I7" i="1"/>
  <c r="P5" i="1"/>
  <c r="O5" i="1"/>
  <c r="O16" i="1" l="1"/>
  <c r="Q16" i="1" s="1"/>
  <c r="Q72" i="1"/>
  <c r="L62" i="1"/>
  <c r="Q62" i="1"/>
  <c r="M62" i="1" s="1"/>
  <c r="Q64" i="1"/>
  <c r="M64" i="1" s="1"/>
  <c r="Q68" i="1"/>
  <c r="M68" i="1" s="1"/>
  <c r="Q63" i="1"/>
  <c r="M63" i="1" s="1"/>
  <c r="I5" i="1"/>
  <c r="K5" i="1" s="1"/>
  <c r="B55" i="1" s="1"/>
  <c r="B56" i="1" s="1"/>
  <c r="K12" i="1"/>
  <c r="L12" i="1" s="1"/>
  <c r="K14" i="1"/>
  <c r="L14" i="1" s="1"/>
  <c r="K15" i="1"/>
  <c r="L15" i="1" s="1"/>
  <c r="K8" i="1"/>
  <c r="L8" i="1" s="1"/>
  <c r="K10" i="1"/>
  <c r="L10" i="1" s="1"/>
  <c r="F21" i="1"/>
  <c r="E21" i="1"/>
  <c r="K13" i="1"/>
  <c r="L13" i="1" s="1"/>
  <c r="J18" i="1"/>
  <c r="K7" i="1"/>
  <c r="L7" i="1" s="1"/>
  <c r="K9" i="1"/>
  <c r="L9" i="1" s="1"/>
  <c r="O14" i="1"/>
  <c r="P14" i="1"/>
  <c r="P15" i="1"/>
  <c r="O15" i="1"/>
  <c r="O10" i="1"/>
  <c r="P10" i="1"/>
  <c r="P7" i="1"/>
  <c r="O7" i="1"/>
  <c r="P9" i="1"/>
  <c r="O9" i="1"/>
  <c r="K6" i="1"/>
  <c r="L6" i="1" s="1"/>
  <c r="O11" i="1"/>
  <c r="P11" i="1"/>
  <c r="K11" i="1"/>
  <c r="L11" i="1" s="1"/>
  <c r="O6" i="1"/>
  <c r="P6" i="1"/>
  <c r="P13" i="1"/>
  <c r="O13" i="1"/>
  <c r="Q5" i="1"/>
  <c r="M5" i="1" s="1"/>
  <c r="L5" i="1" l="1"/>
  <c r="I18" i="1"/>
  <c r="G21" i="1"/>
  <c r="B21" i="1" s="1"/>
  <c r="Q10" i="1"/>
  <c r="M10" i="1" s="1"/>
  <c r="Q14" i="1"/>
  <c r="M14" i="1" s="1"/>
  <c r="Q13" i="1"/>
  <c r="M13" i="1" s="1"/>
  <c r="Q9" i="1"/>
  <c r="M9" i="1" s="1"/>
  <c r="Q6" i="1"/>
  <c r="M6" i="1" s="1"/>
  <c r="Q11" i="1"/>
  <c r="M11" i="1" s="1"/>
  <c r="Q7" i="1"/>
  <c r="M7" i="1" s="1"/>
  <c r="Q15" i="1"/>
  <c r="M73" i="1" l="1"/>
  <c r="M74" i="1"/>
  <c r="M72" i="1"/>
  <c r="K74" i="1" s="1"/>
  <c r="M16" i="1"/>
  <c r="M17" i="1"/>
  <c r="M15" i="1"/>
  <c r="K17" i="1" s="1"/>
  <c r="L74" i="1" l="1"/>
  <c r="L75" i="1" s="1"/>
  <c r="K75" i="1"/>
  <c r="L17" i="1"/>
  <c r="L18" i="1" s="1"/>
  <c r="K18" i="1"/>
  <c r="B22" i="1" l="1"/>
  <c r="B23" i="1" l="1"/>
</calcChain>
</file>

<file path=xl/comments1.xml><?xml version="1.0" encoding="utf-8"?>
<comments xmlns="http://schemas.openxmlformats.org/spreadsheetml/2006/main">
  <authors>
    <author>Janez</author>
  </authors>
  <commentList>
    <comment ref="B4" authorId="0" shapeId="0">
      <text>
        <r>
          <rPr>
            <b/>
            <sz val="9"/>
            <color indexed="81"/>
            <rFont val="Segoe UI"/>
            <charset val="1"/>
          </rPr>
          <t>Vpišite vašo mesečno bruto plačo iz plačilne liste.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Segoe UI"/>
            <charset val="1"/>
          </rPr>
          <t>Vpišite vaše vzdrževane družinske člane, npr. otroke ... za določen mesec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17" authorId="0" shapeId="0">
      <text>
        <r>
          <rPr>
            <b/>
            <sz val="9"/>
            <color indexed="81"/>
            <rFont val="Segoe UI"/>
            <charset val="1"/>
          </rPr>
          <t>Vpišite vaš bruto regres iz plačilne liste.</t>
        </r>
        <r>
          <rPr>
            <sz val="9"/>
            <color indexed="81"/>
            <rFont val="Segoe UI"/>
            <charset val="1"/>
          </rPr>
          <t xml:space="preserve">
</t>
        </r>
      </text>
    </comment>
    <comment ref="B23" authorId="0" shapeId="0">
      <text>
        <r>
          <rPr>
            <b/>
            <sz val="9"/>
            <color indexed="81"/>
            <rFont val="Segoe UI"/>
            <family val="2"/>
            <charset val="238"/>
          </rPr>
          <t>Doplačilo/vračilo dohodnine pri letni odmeri dohodnine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<sst xmlns="http://schemas.openxmlformats.org/spreadsheetml/2006/main" count="111" uniqueCount="70">
  <si>
    <t>Izplačilo v</t>
  </si>
  <si>
    <t>Jan</t>
  </si>
  <si>
    <t>Feb</t>
  </si>
  <si>
    <t>Mar</t>
  </si>
  <si>
    <t>Apr</t>
  </si>
  <si>
    <t>Maj</t>
  </si>
  <si>
    <t>Jun</t>
  </si>
  <si>
    <t>Jul</t>
  </si>
  <si>
    <t>Avg</t>
  </si>
  <si>
    <t>Sep</t>
  </si>
  <si>
    <t>Okt</t>
  </si>
  <si>
    <t>Nov</t>
  </si>
  <si>
    <t>Dec</t>
  </si>
  <si>
    <t>Bruto</t>
  </si>
  <si>
    <t>Prispevki</t>
  </si>
  <si>
    <t>Spl. Olajšava</t>
  </si>
  <si>
    <t>VDČ</t>
  </si>
  <si>
    <t>Skupaj olajšave</t>
  </si>
  <si>
    <t>Osnova za davek</t>
  </si>
  <si>
    <t>Fiksni davek</t>
  </si>
  <si>
    <t>Davek nad mejo</t>
  </si>
  <si>
    <t>Akontacija dohodnine</t>
  </si>
  <si>
    <t>Neto</t>
  </si>
  <si>
    <t>Povprečna stopnja davka</t>
  </si>
  <si>
    <t>Pomožni izračun povprečne stopnje</t>
  </si>
  <si>
    <t>Spodnja meja</t>
  </si>
  <si>
    <t>Zgornja meja</t>
  </si>
  <si>
    <t>% nad spodnjo mejo</t>
  </si>
  <si>
    <t>Preračun na mesec</t>
  </si>
  <si>
    <t>Splošna olajševa</t>
  </si>
  <si>
    <t>Mesečno</t>
  </si>
  <si>
    <t>Regres</t>
  </si>
  <si>
    <t>Skupaj</t>
  </si>
  <si>
    <t>Akontacija</t>
  </si>
  <si>
    <t>Odmera</t>
  </si>
  <si>
    <t>Doplačilo/Vračilo</t>
  </si>
  <si>
    <t>Z VPISOM VAŠE BRUTO PLAČE IN ZNESKOV ZA VZDRŽEVANE DRUŽINSKE ČLANE</t>
  </si>
  <si>
    <t>LAHKO IZRAČUNATE ALI BOSTE DOPLAČALI, ALI BOSTE DOBILI VRAČILO,</t>
  </si>
  <si>
    <t>ČE PREDPOSTAVLJAMO, DA IMAMO SAMO NASLEDNJA 2 DOHODKA:</t>
  </si>
  <si>
    <t>- BRUTO PLAČO</t>
  </si>
  <si>
    <t>- REGRES</t>
  </si>
  <si>
    <t>Dohodnina na letnem nivoju</t>
  </si>
  <si>
    <r>
      <rPr>
        <b/>
        <sz val="11"/>
        <color theme="1"/>
        <rFont val="Calibri"/>
        <family val="2"/>
        <charset val="238"/>
        <scheme val="minor"/>
      </rPr>
      <t>1. naloga:</t>
    </r>
    <r>
      <rPr>
        <sz val="11"/>
        <color theme="1"/>
        <rFont val="Calibri"/>
        <family val="2"/>
        <charset val="238"/>
        <scheme val="minor"/>
      </rPr>
      <t xml:space="preserve"> Popravite trenutne podatke za bruto plačo glede na številko vašega računalnika, in sicer računalnik 1 jo popravi za 100 € navzdol, računalnik 2 jo popravi za 100 € navzgor itd.</t>
    </r>
  </si>
  <si>
    <r>
      <rPr>
        <b/>
        <sz val="11"/>
        <color theme="1"/>
        <rFont val="Calibri"/>
        <family val="2"/>
        <charset val="238"/>
        <scheme val="minor"/>
      </rPr>
      <t>2. naloga</t>
    </r>
    <r>
      <rPr>
        <sz val="11"/>
        <color theme="1"/>
        <rFont val="Calibri"/>
        <family val="2"/>
        <charset val="238"/>
        <scheme val="minor"/>
      </rPr>
      <t>: Popravite trenutne podatke za regres glede na številko vašega računalnika, in sicer računalnik 1 ga popravi za 20 € navzdol, računalnik 2 jo popravi za 20 € navzgor itd.</t>
    </r>
  </si>
  <si>
    <r>
      <rPr>
        <b/>
        <sz val="11"/>
        <color theme="1"/>
        <rFont val="Calibri"/>
        <family val="2"/>
        <charset val="238"/>
        <scheme val="minor"/>
      </rPr>
      <t>3. naloga:</t>
    </r>
    <r>
      <rPr>
        <sz val="11"/>
        <color theme="1"/>
        <rFont val="Calibri"/>
        <family val="2"/>
        <charset val="238"/>
        <scheme val="minor"/>
      </rPr>
      <t xml:space="preserve"> V stolpec Vzdrževani družinski člani vpišite, da ima računalnik 1: 5 otrok, računalnik 2: 4 otroke itd., računalnik 6: 1 otroka, računalnik 2: 2 otroka, itd. do 5 otrok, 11 računalnik:  5 otrok, 12 računalnik: 4 otroke itd.</t>
    </r>
  </si>
  <si>
    <t>Bruto regres</t>
  </si>
  <si>
    <t>Bruto plača</t>
  </si>
  <si>
    <t>Bruto reges + bruto plača</t>
  </si>
  <si>
    <t>- Splošna olajšava</t>
  </si>
  <si>
    <t>- Vzdrževani družinski člani</t>
  </si>
  <si>
    <t>Davčna osnova (30 -31-32-33)</t>
  </si>
  <si>
    <t>- Prispevki (29*22,1%)</t>
  </si>
  <si>
    <t>Doplačilo/vračilo</t>
  </si>
  <si>
    <t>Splošna olajšava</t>
  </si>
  <si>
    <t>Vzdrževani družinski člani</t>
  </si>
  <si>
    <t>Bruto plača + bruto regres</t>
  </si>
  <si>
    <t>Odmera davka</t>
  </si>
  <si>
    <r>
      <rPr>
        <b/>
        <sz val="11"/>
        <color theme="1"/>
        <rFont val="Calibri"/>
        <family val="2"/>
        <charset val="238"/>
        <scheme val="minor"/>
      </rPr>
      <t>4. naloga:</t>
    </r>
    <r>
      <rPr>
        <sz val="11"/>
        <color theme="1"/>
        <rFont val="Calibri"/>
        <family val="2"/>
        <charset val="238"/>
        <scheme val="minor"/>
      </rPr>
      <t xml:space="preserve"> Izpolnite spodnjo tabelo, če želi delodajalec izračunati "pravilno" mesečno dohodnino, ko izplača tudi regres, da ne bi </t>
    </r>
  </si>
  <si>
    <t>bilo ob letnem plačilu dohodnine ne doplačil in ne vračil.</t>
  </si>
  <si>
    <r>
      <rPr>
        <b/>
        <sz val="11"/>
        <color theme="1"/>
        <rFont val="Calibri"/>
        <family val="2"/>
        <charset val="238"/>
        <scheme val="minor"/>
      </rPr>
      <t>5. naloga</t>
    </r>
    <r>
      <rPr>
        <sz val="11"/>
        <color theme="1"/>
        <rFont val="Calibri"/>
        <family val="2"/>
        <charset val="238"/>
        <scheme val="minor"/>
      </rPr>
      <t>: Izračunajte letno dohodnino na podlagi mesečnega obračuna plače iz 4. naloge.</t>
    </r>
  </si>
  <si>
    <r>
      <rPr>
        <b/>
        <sz val="11"/>
        <color theme="1"/>
        <rFont val="Calibri"/>
        <family val="2"/>
        <charset val="238"/>
        <scheme val="minor"/>
      </rPr>
      <t>6. naloga</t>
    </r>
    <r>
      <rPr>
        <sz val="11"/>
        <color theme="1"/>
        <rFont val="Calibri"/>
        <family val="2"/>
        <charset val="238"/>
        <scheme val="minor"/>
      </rPr>
      <t>: Izračunajte doplačilo oziroma vračilo glede na podatke iz 5. naloge.</t>
    </r>
  </si>
  <si>
    <t>Davčna osnova (42-43-44-45)</t>
  </si>
  <si>
    <t>Neto plača (30-31-34)</t>
  </si>
  <si>
    <t xml:space="preserve">Kako izračunati fiksni davek in davek nad mejo, si oglejte </t>
  </si>
  <si>
    <t xml:space="preserve">na povezavi: </t>
  </si>
  <si>
    <t>http://991.gvs.arnes.si/dokumenti-janez/filmi/izracun_dohodnine_mesecne.wmv</t>
  </si>
  <si>
    <t>http://991.gvs.arnes.si/dokumenti-janez/filmi/izracun_dohodnine_letne.wmv</t>
  </si>
  <si>
    <t>Prispevki iz regresa</t>
  </si>
  <si>
    <r>
      <rPr>
        <b/>
        <sz val="11"/>
        <color theme="1"/>
        <rFont val="Calibri"/>
        <family val="2"/>
        <charset val="238"/>
        <scheme val="minor"/>
      </rPr>
      <t>7. naloga</t>
    </r>
    <r>
      <rPr>
        <sz val="11"/>
        <color theme="1"/>
        <rFont val="Calibri"/>
        <family val="2"/>
        <charset val="238"/>
        <scheme val="minor"/>
      </rPr>
      <t>: Prejeli ste 1.300 EUR regresa. Ker presegate 70 % povprečne plače predpreteklega meseca morate plačati prispevek iz regresa, in sicer samo iz dela, ki presega 70%.</t>
    </r>
  </si>
  <si>
    <t>Izračunajte akontacijo dohodnine in neto plačo na podlagi zgornje informacije in spodnjih podatkov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</si>
</sst>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9" fontId="0" fillId="0" borderId="1" xfId="0" applyNumberFormat="1" applyBorder="1"/>
    <xf numFmtId="2" fontId="0" fillId="0" borderId="1" xfId="0" applyNumberFormat="1" applyBorder="1"/>
    <xf numFmtId="4" fontId="0" fillId="0" borderId="1" xfId="0" applyNumberFormat="1" applyBorder="1"/>
    <xf numFmtId="0" fontId="0" fillId="3" borderId="1" xfId="0" applyFill="1" applyBorder="1"/>
    <xf numFmtId="0" fontId="1" fillId="3" borderId="1" xfId="0" applyFont="1" applyFill="1" applyBorder="1"/>
    <xf numFmtId="4" fontId="0" fillId="0" borderId="0" xfId="0" applyNumberFormat="1"/>
    <xf numFmtId="10" fontId="0" fillId="0" borderId="1" xfId="0" applyNumberFormat="1" applyBorder="1"/>
    <xf numFmtId="2" fontId="0" fillId="0" borderId="1" xfId="0" applyNumberFormat="1" applyBorder="1" applyProtection="1">
      <protection locked="0"/>
    </xf>
    <xf numFmtId="4" fontId="0" fillId="0" borderId="1" xfId="0" applyNumberFormat="1" applyBorder="1" applyProtection="1">
      <protection locked="0"/>
    </xf>
    <xf numFmtId="0" fontId="0" fillId="5" borderId="1" xfId="0" applyFill="1" applyBorder="1"/>
    <xf numFmtId="4" fontId="0" fillId="5" borderId="1" xfId="0" applyNumberFormat="1" applyFill="1" applyBorder="1" applyProtection="1">
      <protection locked="0"/>
    </xf>
    <xf numFmtId="4" fontId="0" fillId="5" borderId="1" xfId="0" applyNumberFormat="1" applyFill="1" applyBorder="1"/>
    <xf numFmtId="2" fontId="0" fillId="5" borderId="1" xfId="0" applyNumberFormat="1" applyFill="1" applyBorder="1" applyProtection="1">
      <protection locked="0"/>
    </xf>
    <xf numFmtId="2" fontId="0" fillId="5" borderId="1" xfId="0" applyNumberFormat="1" applyFill="1" applyBorder="1"/>
    <xf numFmtId="10" fontId="0" fillId="5" borderId="1" xfId="0" applyNumberFormat="1" applyFill="1" applyBorder="1"/>
    <xf numFmtId="0" fontId="0" fillId="6" borderId="1" xfId="0" applyFill="1" applyBorder="1"/>
    <xf numFmtId="4" fontId="0" fillId="6" borderId="1" xfId="0" applyNumberFormat="1" applyFill="1" applyBorder="1"/>
    <xf numFmtId="2" fontId="0" fillId="6" borderId="1" xfId="0" applyNumberFormat="1" applyFill="1" applyBorder="1" applyProtection="1">
      <protection locked="0"/>
    </xf>
    <xf numFmtId="2" fontId="0" fillId="6" borderId="1" xfId="0" applyNumberFormat="1" applyFill="1" applyBorder="1"/>
    <xf numFmtId="0" fontId="1" fillId="2" borderId="1" xfId="0" applyFont="1" applyFill="1" applyBorder="1"/>
    <xf numFmtId="0" fontId="1" fillId="4" borderId="1" xfId="0" applyFont="1" applyFill="1" applyBorder="1"/>
    <xf numFmtId="0" fontId="0" fillId="0" borderId="0" xfId="0" quotePrefix="1"/>
    <xf numFmtId="2" fontId="4" fillId="0" borderId="1" xfId="0" applyNumberFormat="1" applyFont="1" applyBorder="1"/>
    <xf numFmtId="0" fontId="0" fillId="7" borderId="0" xfId="0" applyFill="1"/>
    <xf numFmtId="2" fontId="0" fillId="0" borderId="0" xfId="0" applyNumberFormat="1"/>
    <xf numFmtId="0" fontId="0" fillId="0" borderId="1" xfId="0" quotePrefix="1" applyBorder="1"/>
    <xf numFmtId="0" fontId="1" fillId="4" borderId="1" xfId="0" applyFont="1" applyFill="1" applyBorder="1" applyAlignment="1"/>
    <xf numFmtId="0" fontId="1" fillId="3" borderId="2" xfId="0" applyFont="1" applyFill="1" applyBorder="1" applyAlignment="1"/>
    <xf numFmtId="0" fontId="0" fillId="3" borderId="3" xfId="0" applyFill="1" applyBorder="1" applyAlignment="1"/>
    <xf numFmtId="0" fontId="0" fillId="0" borderId="0" xfId="0" applyAlignment="1"/>
    <xf numFmtId="2" fontId="0" fillId="0" borderId="0" xfId="0" applyNumberFormat="1" applyBorder="1"/>
    <xf numFmtId="4" fontId="0" fillId="0" borderId="0" xfId="0" applyNumberFormat="1" applyBorder="1"/>
    <xf numFmtId="0" fontId="0" fillId="0" borderId="0" xfId="0" applyBorder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754380</xdr:colOff>
      <xdr:row>19</xdr:row>
      <xdr:rowOff>83172</xdr:rowOff>
    </xdr:from>
    <xdr:to>
      <xdr:col>15</xdr:col>
      <xdr:colOff>19594</xdr:colOff>
      <xdr:row>31</xdr:row>
      <xdr:rowOff>104347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15300" y="3557892"/>
          <a:ext cx="5943600" cy="221573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30</xdr:row>
      <xdr:rowOff>162279</xdr:rowOff>
    </xdr:from>
    <xdr:to>
      <xdr:col>15</xdr:col>
      <xdr:colOff>8937</xdr:colOff>
      <xdr:row>48</xdr:row>
      <xdr:rowOff>113671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06740" y="5648679"/>
          <a:ext cx="5841503" cy="3243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defaultRowHeight="14.4" x14ac:dyDescent="0.3"/>
  <sheetData>
    <row r="1" spans="1:1" x14ac:dyDescent="0.3">
      <c r="A1" t="s">
        <v>36</v>
      </c>
    </row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s="23" t="s">
        <v>39</v>
      </c>
    </row>
    <row r="5" spans="1:1" x14ac:dyDescent="0.3">
      <c r="A5" s="23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5"/>
  <sheetViews>
    <sheetView tabSelected="1" topLeftCell="A43" zoomScale="70" zoomScaleNormal="70" workbookViewId="0">
      <selection activeCell="E84" sqref="E84"/>
    </sheetView>
  </sheetViews>
  <sheetFormatPr defaultRowHeight="14.4" x14ac:dyDescent="0.3"/>
  <cols>
    <col min="1" max="1" width="29" customWidth="1"/>
    <col min="2" max="2" width="14.77734375" customWidth="1"/>
    <col min="4" max="4" width="19.77734375" customWidth="1"/>
    <col min="5" max="5" width="14.44140625" customWidth="1"/>
    <col min="7" max="7" width="16.21875" customWidth="1"/>
    <col min="8" max="8" width="15.109375" customWidth="1"/>
    <col min="9" max="9" width="12.33203125" customWidth="1"/>
    <col min="10" max="10" width="15.6640625" customWidth="1"/>
    <col min="11" max="11" width="18.44140625" customWidth="1"/>
    <col min="12" max="12" width="11.21875" customWidth="1"/>
    <col min="13" max="13" width="21.88671875" customWidth="1"/>
  </cols>
  <sheetData>
    <row r="1" spans="1:17" x14ac:dyDescent="0.3">
      <c r="A1" t="s">
        <v>42</v>
      </c>
    </row>
    <row r="2" spans="1:17" x14ac:dyDescent="0.3">
      <c r="A2" t="s">
        <v>43</v>
      </c>
    </row>
    <row r="3" spans="1:17" x14ac:dyDescent="0.3">
      <c r="A3" t="s">
        <v>44</v>
      </c>
    </row>
    <row r="4" spans="1:17" x14ac:dyDescent="0.3">
      <c r="A4" s="21" t="s">
        <v>0</v>
      </c>
      <c r="B4" s="21" t="s">
        <v>13</v>
      </c>
      <c r="C4" s="21" t="s">
        <v>14</v>
      </c>
      <c r="D4" s="21"/>
      <c r="E4" s="21" t="s">
        <v>15</v>
      </c>
      <c r="F4" s="21" t="s">
        <v>16</v>
      </c>
      <c r="G4" s="21" t="s">
        <v>17</v>
      </c>
      <c r="H4" s="21" t="s">
        <v>18</v>
      </c>
      <c r="I4" s="21" t="s">
        <v>19</v>
      </c>
      <c r="J4" s="21" t="s">
        <v>20</v>
      </c>
      <c r="K4" s="21" t="s">
        <v>21</v>
      </c>
      <c r="L4" s="21" t="s">
        <v>22</v>
      </c>
      <c r="M4" s="22" t="s">
        <v>23</v>
      </c>
      <c r="N4" s="28" t="s">
        <v>24</v>
      </c>
      <c r="O4" s="28"/>
      <c r="P4" s="28"/>
      <c r="Q4" s="28"/>
    </row>
    <row r="5" spans="1:17" x14ac:dyDescent="0.3">
      <c r="A5" s="1" t="s">
        <v>1</v>
      </c>
      <c r="B5" s="10">
        <v>2524.64</v>
      </c>
      <c r="C5" s="4">
        <f>B5*0.221</f>
        <v>557.94543999999996</v>
      </c>
      <c r="D5" s="4"/>
      <c r="E5" s="4">
        <f>Olajšave!$F$4</f>
        <v>275.23</v>
      </c>
      <c r="F5" s="9">
        <v>0</v>
      </c>
      <c r="G5" s="4">
        <f>E5+F5</f>
        <v>275.23</v>
      </c>
      <c r="H5" s="4">
        <f>B5-C5-G5</f>
        <v>1691.4645599999999</v>
      </c>
      <c r="I5" s="1">
        <f>VLOOKUP(H5,Lestvica!$A$8:$D$11,3)</f>
        <v>106.95</v>
      </c>
      <c r="J5" s="3">
        <f>VLOOKUP(H5,Lestvica!$A$8:$D$11,4)*(H5-VLOOKUP(H5,Lestvica!$A$8:$D$11,1))</f>
        <v>276.21393119999999</v>
      </c>
      <c r="K5" s="3">
        <f>I5+J5</f>
        <v>383.16393119999998</v>
      </c>
      <c r="L5" s="4">
        <f>B5-C5-K5</f>
        <v>1583.5306287999999</v>
      </c>
      <c r="M5" s="8">
        <f>Q5/N5</f>
        <v>0.22981701232788718</v>
      </c>
      <c r="N5" s="4">
        <f>H5+$B$17/12</f>
        <v>1728.9645599999999</v>
      </c>
      <c r="O5" s="4">
        <f>VLOOKUP(N5,Lestvica!$A$8:$D$11,3)</f>
        <v>385.47</v>
      </c>
      <c r="P5" s="4">
        <f>VLOOKUP(N5,Lestvica!$A$8:D11,4)*(N5-VLOOKUP(N5,Lestvica!$A$8:D11,1))</f>
        <v>11.875469599999954</v>
      </c>
      <c r="Q5" s="4">
        <f>O5+P5</f>
        <v>397.3454696</v>
      </c>
    </row>
    <row r="6" spans="1:17" x14ac:dyDescent="0.3">
      <c r="A6" s="1" t="s">
        <v>2</v>
      </c>
      <c r="B6" s="10">
        <v>2524.64</v>
      </c>
      <c r="C6" s="4">
        <f>B6*0.221</f>
        <v>557.94543999999996</v>
      </c>
      <c r="D6" s="4"/>
      <c r="E6" s="4">
        <f>Olajšave!$F$4</f>
        <v>275.23</v>
      </c>
      <c r="F6" s="9">
        <v>0</v>
      </c>
      <c r="G6" s="4">
        <f t="shared" ref="G6:G16" si="0">E6+F6</f>
        <v>275.23</v>
      </c>
      <c r="H6" s="4">
        <f>B6-C6-G6</f>
        <v>1691.4645599999999</v>
      </c>
      <c r="I6" s="1">
        <f>VLOOKUP(H6,Lestvica!$A$8:$D$11,3)</f>
        <v>106.95</v>
      </c>
      <c r="J6" s="3">
        <f>VLOOKUP(H6,Lestvica!$A$8:$D$11,4)*(H6-VLOOKUP(H6,Lestvica!$A$8:$D$11,1))</f>
        <v>276.21393119999999</v>
      </c>
      <c r="K6" s="3">
        <f t="shared" ref="K6:K16" si="1">I6+J6</f>
        <v>383.16393119999998</v>
      </c>
      <c r="L6" s="4">
        <f>B6-C6-K6</f>
        <v>1583.5306287999999</v>
      </c>
      <c r="M6" s="8">
        <f t="shared" ref="M6:M14" si="2">Q6/N6</f>
        <v>0.22981701232788718</v>
      </c>
      <c r="N6" s="4">
        <f t="shared" ref="N6:N16" si="3">H6+$B$17/12</f>
        <v>1728.9645599999999</v>
      </c>
      <c r="O6" s="4">
        <f>VLOOKUP(N6,Lestvica!$A$8:$D$11,3)</f>
        <v>385.47</v>
      </c>
      <c r="P6" s="4">
        <f>VLOOKUP(N6,Lestvica!$A$8:D12,4)*(N6-VLOOKUP(N6,Lestvica!$A$8:D12,1))</f>
        <v>11.875469599999954</v>
      </c>
      <c r="Q6" s="4">
        <f t="shared" ref="Q6:Q16" si="4">O6+P6</f>
        <v>397.3454696</v>
      </c>
    </row>
    <row r="7" spans="1:17" x14ac:dyDescent="0.3">
      <c r="A7" s="1" t="s">
        <v>3</v>
      </c>
      <c r="B7" s="10">
        <v>2524.64</v>
      </c>
      <c r="C7" s="4">
        <f>B7*0.221</f>
        <v>557.94543999999996</v>
      </c>
      <c r="D7" s="4"/>
      <c r="E7" s="4">
        <f>Olajšave!$F$4</f>
        <v>275.23</v>
      </c>
      <c r="F7" s="9">
        <v>0</v>
      </c>
      <c r="G7" s="4">
        <f t="shared" si="0"/>
        <v>275.23</v>
      </c>
      <c r="H7" s="4">
        <f>B7-C7-G7</f>
        <v>1691.4645599999999</v>
      </c>
      <c r="I7" s="1">
        <f>VLOOKUP(H7,Lestvica!$A$8:$D$11,3)</f>
        <v>106.95</v>
      </c>
      <c r="J7" s="3">
        <f>VLOOKUP(H7,Lestvica!$A$8:$D$11,4)*(H7-VLOOKUP(H7,Lestvica!$A$8:$D$11,1))</f>
        <v>276.21393119999999</v>
      </c>
      <c r="K7" s="3">
        <f t="shared" si="1"/>
        <v>383.16393119999998</v>
      </c>
      <c r="L7" s="4">
        <f>B7-C7-K7</f>
        <v>1583.5306287999999</v>
      </c>
      <c r="M7" s="8">
        <f t="shared" si="2"/>
        <v>0.22981701232788718</v>
      </c>
      <c r="N7" s="4">
        <f t="shared" si="3"/>
        <v>1728.9645599999999</v>
      </c>
      <c r="O7" s="4">
        <f>VLOOKUP(N7,Lestvica!$A$8:$D$11,3)</f>
        <v>385.47</v>
      </c>
      <c r="P7" s="4">
        <f>VLOOKUP(N7,Lestvica!$A$8:D13,4)*(N7-VLOOKUP(N7,Lestvica!$A$8:D13,1))</f>
        <v>11.875469599999954</v>
      </c>
      <c r="Q7" s="4">
        <f t="shared" si="4"/>
        <v>397.3454696</v>
      </c>
    </row>
    <row r="8" spans="1:17" x14ac:dyDescent="0.3">
      <c r="A8" s="1" t="s">
        <v>4</v>
      </c>
      <c r="B8" s="10">
        <v>2524.64</v>
      </c>
      <c r="C8" s="4">
        <f>B8*0.221</f>
        <v>557.94543999999996</v>
      </c>
      <c r="D8" s="4"/>
      <c r="E8" s="4">
        <f>Olajšave!$F$4</f>
        <v>275.23</v>
      </c>
      <c r="F8" s="9">
        <v>0</v>
      </c>
      <c r="G8" s="4">
        <f t="shared" si="0"/>
        <v>275.23</v>
      </c>
      <c r="H8" s="4">
        <f>B8-C8-G8</f>
        <v>1691.4645599999999</v>
      </c>
      <c r="I8" s="1">
        <f>VLOOKUP(H8,Lestvica!$A$8:$D$11,3)</f>
        <v>106.95</v>
      </c>
      <c r="J8" s="3">
        <f>VLOOKUP(H8,Lestvica!$A$8:$D$11,4)*(H8-VLOOKUP(H8,Lestvica!$A$8:$D$11,1))</f>
        <v>276.21393119999999</v>
      </c>
      <c r="K8" s="3">
        <f t="shared" si="1"/>
        <v>383.16393119999998</v>
      </c>
      <c r="L8" s="4">
        <f>B8-C8-K8</f>
        <v>1583.5306287999999</v>
      </c>
      <c r="M8" s="8">
        <f t="shared" si="2"/>
        <v>0.22981701232788718</v>
      </c>
      <c r="N8" s="4">
        <f t="shared" si="3"/>
        <v>1728.9645599999999</v>
      </c>
      <c r="O8" s="4">
        <f>VLOOKUP(N8,Lestvica!$A$8:$D$11,3)</f>
        <v>385.47</v>
      </c>
      <c r="P8" s="4">
        <f>VLOOKUP(N8,Lestvica!$A$8:D14,4)*(N8-VLOOKUP(N8,Lestvica!$A$8:D14,1))</f>
        <v>11.875469599999954</v>
      </c>
      <c r="Q8" s="4">
        <f t="shared" si="4"/>
        <v>397.3454696</v>
      </c>
    </row>
    <row r="9" spans="1:17" x14ac:dyDescent="0.3">
      <c r="A9" s="1" t="s">
        <v>5</v>
      </c>
      <c r="B9" s="10">
        <v>2524.64</v>
      </c>
      <c r="C9" s="4">
        <f>B9*0.221</f>
        <v>557.94543999999996</v>
      </c>
      <c r="D9" s="4"/>
      <c r="E9" s="4">
        <f>Olajšave!$F$4</f>
        <v>275.23</v>
      </c>
      <c r="F9" s="9">
        <v>0</v>
      </c>
      <c r="G9" s="4">
        <f t="shared" si="0"/>
        <v>275.23</v>
      </c>
      <c r="H9" s="4">
        <f>B9-C9-G9</f>
        <v>1691.4645599999999</v>
      </c>
      <c r="I9" s="1">
        <f>VLOOKUP(H9,Lestvica!$A$8:$D$11,3)</f>
        <v>106.95</v>
      </c>
      <c r="J9" s="3">
        <f>VLOOKUP(H9,Lestvica!$A$8:$D$11,4)*(H9-VLOOKUP(H9,Lestvica!$A$8:$D$11,1))</f>
        <v>276.21393119999999</v>
      </c>
      <c r="K9" s="3">
        <f t="shared" si="1"/>
        <v>383.16393119999998</v>
      </c>
      <c r="L9" s="4">
        <f>B9-C9-K9</f>
        <v>1583.5306287999999</v>
      </c>
      <c r="M9" s="8">
        <f t="shared" si="2"/>
        <v>0.22981701232788718</v>
      </c>
      <c r="N9" s="4">
        <f t="shared" si="3"/>
        <v>1728.9645599999999</v>
      </c>
      <c r="O9" s="4">
        <f>VLOOKUP(N9,Lestvica!$A$8:$D$11,3)</f>
        <v>385.47</v>
      </c>
      <c r="P9" s="4">
        <f>VLOOKUP(N9,Lestvica!$A$8:D15,4)*(N9-VLOOKUP(N9,Lestvica!$A$8:D15,1))</f>
        <v>11.875469599999954</v>
      </c>
      <c r="Q9" s="4">
        <f t="shared" si="4"/>
        <v>397.3454696</v>
      </c>
    </row>
    <row r="10" spans="1:17" x14ac:dyDescent="0.3">
      <c r="A10" s="1" t="s">
        <v>6</v>
      </c>
      <c r="B10" s="10">
        <v>2524.64</v>
      </c>
      <c r="C10" s="4">
        <f>B10*0.221</f>
        <v>557.94543999999996</v>
      </c>
      <c r="D10" s="4"/>
      <c r="E10" s="4">
        <f>Olajšave!$F$4</f>
        <v>275.23</v>
      </c>
      <c r="F10" s="9">
        <v>0</v>
      </c>
      <c r="G10" s="4">
        <f t="shared" si="0"/>
        <v>275.23</v>
      </c>
      <c r="H10" s="4">
        <f>B10-C10-G10</f>
        <v>1691.4645599999999</v>
      </c>
      <c r="I10" s="1">
        <f>VLOOKUP(H10,Lestvica!$A$8:$D$11,3)</f>
        <v>106.95</v>
      </c>
      <c r="J10" s="3">
        <f>VLOOKUP(H10,Lestvica!$A$8:$D$11,4)*(H10-VLOOKUP(H10,Lestvica!$A$8:$D$11,1))</f>
        <v>276.21393119999999</v>
      </c>
      <c r="K10" s="3">
        <f t="shared" si="1"/>
        <v>383.16393119999998</v>
      </c>
      <c r="L10" s="4">
        <f>B10-C10-K10</f>
        <v>1583.5306287999999</v>
      </c>
      <c r="M10" s="8">
        <f t="shared" si="2"/>
        <v>0.22981701232788718</v>
      </c>
      <c r="N10" s="4">
        <f t="shared" si="3"/>
        <v>1728.9645599999999</v>
      </c>
      <c r="O10" s="4">
        <f>VLOOKUP(N10,Lestvica!$A$8:$D$11,3)</f>
        <v>385.47</v>
      </c>
      <c r="P10" s="4">
        <f>VLOOKUP(N10,Lestvica!$A$8:D16,4)*(N10-VLOOKUP(N10,Lestvica!$A$8:D16,1))</f>
        <v>11.875469599999954</v>
      </c>
      <c r="Q10" s="4">
        <f t="shared" si="4"/>
        <v>397.3454696</v>
      </c>
    </row>
    <row r="11" spans="1:17" x14ac:dyDescent="0.3">
      <c r="A11" s="1" t="s">
        <v>7</v>
      </c>
      <c r="B11" s="10">
        <v>2524.64</v>
      </c>
      <c r="C11" s="4">
        <f>B11*0.221</f>
        <v>557.94543999999996</v>
      </c>
      <c r="D11" s="4"/>
      <c r="E11" s="4">
        <f>Olajšave!$F$4</f>
        <v>275.23</v>
      </c>
      <c r="F11" s="9">
        <v>0</v>
      </c>
      <c r="G11" s="4">
        <f t="shared" si="0"/>
        <v>275.23</v>
      </c>
      <c r="H11" s="4">
        <f>B11-C11-G11</f>
        <v>1691.4645599999999</v>
      </c>
      <c r="I11" s="1">
        <f>VLOOKUP(H11,Lestvica!$A$8:$D$11,3)</f>
        <v>106.95</v>
      </c>
      <c r="J11" s="3">
        <f>VLOOKUP(H11,Lestvica!$A$8:$D$11,4)*(H11-VLOOKUP(H11,Lestvica!$A$8:$D$11,1))</f>
        <v>276.21393119999999</v>
      </c>
      <c r="K11" s="3">
        <f t="shared" si="1"/>
        <v>383.16393119999998</v>
      </c>
      <c r="L11" s="4">
        <f>B11-C11-K11</f>
        <v>1583.5306287999999</v>
      </c>
      <c r="M11" s="8">
        <f t="shared" si="2"/>
        <v>0.22981701232788718</v>
      </c>
      <c r="N11" s="4">
        <f t="shared" si="3"/>
        <v>1728.9645599999999</v>
      </c>
      <c r="O11" s="4">
        <f>VLOOKUP(N11,Lestvica!$A$8:$D$11,3)</f>
        <v>385.47</v>
      </c>
      <c r="P11" s="4">
        <f>VLOOKUP(N11,Lestvica!$A$8:D17,4)*(N11-VLOOKUP(N11,Lestvica!$A$8:D17,1))</f>
        <v>11.875469599999954</v>
      </c>
      <c r="Q11" s="4">
        <f t="shared" si="4"/>
        <v>397.3454696</v>
      </c>
    </row>
    <row r="12" spans="1:17" x14ac:dyDescent="0.3">
      <c r="A12" s="1" t="s">
        <v>8</v>
      </c>
      <c r="B12" s="10">
        <v>2524.64</v>
      </c>
      <c r="C12" s="4">
        <f>B12*0.221</f>
        <v>557.94543999999996</v>
      </c>
      <c r="D12" s="4"/>
      <c r="E12" s="4">
        <f>Olajšave!$F$4</f>
        <v>275.23</v>
      </c>
      <c r="F12" s="9">
        <v>0</v>
      </c>
      <c r="G12" s="4">
        <f t="shared" si="0"/>
        <v>275.23</v>
      </c>
      <c r="H12" s="4">
        <f>B12-C12-G12</f>
        <v>1691.4645599999999</v>
      </c>
      <c r="I12" s="1">
        <f>VLOOKUP(H12,Lestvica!$A$8:$D$11,3)</f>
        <v>106.95</v>
      </c>
      <c r="J12" s="3">
        <f>VLOOKUP(H12,Lestvica!$A$8:$D$11,4)*(H12-VLOOKUP(H12,Lestvica!$A$8:$D$11,1))</f>
        <v>276.21393119999999</v>
      </c>
      <c r="K12" s="3">
        <f t="shared" si="1"/>
        <v>383.16393119999998</v>
      </c>
      <c r="L12" s="4">
        <f>B12-C12-K12</f>
        <v>1583.5306287999999</v>
      </c>
      <c r="M12" s="8">
        <f t="shared" si="2"/>
        <v>0.22981701232788718</v>
      </c>
      <c r="N12" s="4">
        <f t="shared" si="3"/>
        <v>1728.9645599999999</v>
      </c>
      <c r="O12" s="4">
        <f>VLOOKUP(N12,Lestvica!$A$8:$D$11,3)</f>
        <v>385.47</v>
      </c>
      <c r="P12" s="4">
        <f>VLOOKUP(N12,Lestvica!$A$8:D18,4)*(N12-VLOOKUP(N12,Lestvica!$A$8:D18,1))</f>
        <v>11.875469599999954</v>
      </c>
      <c r="Q12" s="4">
        <f t="shared" si="4"/>
        <v>397.3454696</v>
      </c>
    </row>
    <row r="13" spans="1:17" x14ac:dyDescent="0.3">
      <c r="A13" s="1" t="s">
        <v>9</v>
      </c>
      <c r="B13" s="10">
        <v>2524.64</v>
      </c>
      <c r="C13" s="4">
        <f>B13*0.221</f>
        <v>557.94543999999996</v>
      </c>
      <c r="D13" s="4"/>
      <c r="E13" s="4">
        <f>Olajšave!$F$4</f>
        <v>275.23</v>
      </c>
      <c r="F13" s="9">
        <v>0</v>
      </c>
      <c r="G13" s="4">
        <f t="shared" si="0"/>
        <v>275.23</v>
      </c>
      <c r="H13" s="4">
        <f>B13-C13-G13</f>
        <v>1691.4645599999999</v>
      </c>
      <c r="I13" s="1">
        <f>VLOOKUP(H13,Lestvica!$A$8:$D$11,3)</f>
        <v>106.95</v>
      </c>
      <c r="J13" s="3">
        <f>VLOOKUP(H13,Lestvica!$A$8:$D$11,4)*(H13-VLOOKUP(H13,Lestvica!$A$8:$D$11,1))</f>
        <v>276.21393119999999</v>
      </c>
      <c r="K13" s="3">
        <f t="shared" si="1"/>
        <v>383.16393119999998</v>
      </c>
      <c r="L13" s="4">
        <f>B13-C13-K13</f>
        <v>1583.5306287999999</v>
      </c>
      <c r="M13" s="8">
        <f t="shared" si="2"/>
        <v>0.22981701232788718</v>
      </c>
      <c r="N13" s="4">
        <f t="shared" si="3"/>
        <v>1728.9645599999999</v>
      </c>
      <c r="O13" s="4">
        <f>VLOOKUP(N13,Lestvica!$A$8:$D$11,3)</f>
        <v>385.47</v>
      </c>
      <c r="P13" s="4">
        <f>VLOOKUP(N13,Lestvica!$A$8:D19,4)*(N13-VLOOKUP(N13,Lestvica!$A$8:D19,1))</f>
        <v>11.875469599999954</v>
      </c>
      <c r="Q13" s="4">
        <f t="shared" si="4"/>
        <v>397.3454696</v>
      </c>
    </row>
    <row r="14" spans="1:17" x14ac:dyDescent="0.3">
      <c r="A14" s="1" t="s">
        <v>10</v>
      </c>
      <c r="B14" s="10">
        <v>2524.64</v>
      </c>
      <c r="C14" s="4">
        <f>B14*0.221</f>
        <v>557.94543999999996</v>
      </c>
      <c r="D14" s="4"/>
      <c r="E14" s="4">
        <f>Olajšave!$F$4</f>
        <v>275.23</v>
      </c>
      <c r="F14" s="9">
        <v>0</v>
      </c>
      <c r="G14" s="4">
        <f t="shared" si="0"/>
        <v>275.23</v>
      </c>
      <c r="H14" s="4">
        <f>B14-C14-G14</f>
        <v>1691.4645599999999</v>
      </c>
      <c r="I14" s="1">
        <f>VLOOKUP(H14,Lestvica!$A$8:$D$11,3)</f>
        <v>106.95</v>
      </c>
      <c r="J14" s="3">
        <f>VLOOKUP(H14,Lestvica!$A$8:$D$11,4)*(H14-VLOOKUP(H14,Lestvica!$A$8:$D$11,1))</f>
        <v>276.21393119999999</v>
      </c>
      <c r="K14" s="3">
        <f t="shared" si="1"/>
        <v>383.16393119999998</v>
      </c>
      <c r="L14" s="4">
        <f>B14-C14-K14</f>
        <v>1583.5306287999999</v>
      </c>
      <c r="M14" s="8">
        <f t="shared" si="2"/>
        <v>0.22981701232788718</v>
      </c>
      <c r="N14" s="4">
        <f t="shared" si="3"/>
        <v>1728.9645599999999</v>
      </c>
      <c r="O14" s="4">
        <f>VLOOKUP(N14,Lestvica!$A$8:$D$11,3)</f>
        <v>385.47</v>
      </c>
      <c r="P14" s="4">
        <f>VLOOKUP(N14,Lestvica!$A$8:D20,4)*(N14-VLOOKUP(N14,Lestvica!$A$8:D20,1))</f>
        <v>11.875469599999954</v>
      </c>
      <c r="Q14" s="4">
        <f t="shared" si="4"/>
        <v>397.3454696</v>
      </c>
    </row>
    <row r="15" spans="1:17" x14ac:dyDescent="0.3">
      <c r="A15" s="1" t="s">
        <v>11</v>
      </c>
      <c r="B15" s="10">
        <v>2524.64</v>
      </c>
      <c r="C15" s="4">
        <f>B15*0.221</f>
        <v>557.94543999999996</v>
      </c>
      <c r="D15" s="4"/>
      <c r="E15" s="4">
        <f>Olajšave!$F$4</f>
        <v>275.23</v>
      </c>
      <c r="F15" s="9">
        <v>0</v>
      </c>
      <c r="G15" s="4">
        <f t="shared" si="0"/>
        <v>275.23</v>
      </c>
      <c r="H15" s="4">
        <f>B15-C15-G15</f>
        <v>1691.4645599999999</v>
      </c>
      <c r="I15" s="1">
        <f>VLOOKUP(H15,Lestvica!$A$8:$D$11,3)</f>
        <v>106.95</v>
      </c>
      <c r="J15" s="3">
        <f>VLOOKUP(H15,Lestvica!$A$8:$D$11,4)*(H15-VLOOKUP(H15,Lestvica!$A$8:$D$11,1))</f>
        <v>276.21393119999999</v>
      </c>
      <c r="K15" s="3">
        <f t="shared" si="1"/>
        <v>383.16393119999998</v>
      </c>
      <c r="L15" s="4">
        <f>B15-C15-K15</f>
        <v>1583.5306287999999</v>
      </c>
      <c r="M15" s="8">
        <f>$Q$15/$N$15</f>
        <v>0.22981701232788718</v>
      </c>
      <c r="N15" s="4">
        <f t="shared" si="3"/>
        <v>1728.9645599999999</v>
      </c>
      <c r="O15" s="4">
        <f>VLOOKUP(N15,Lestvica!$A$8:$D$11,3)</f>
        <v>385.47</v>
      </c>
      <c r="P15" s="4">
        <f>VLOOKUP(N15,Lestvica!$A$8:D21,4)*(N15-VLOOKUP(N15,Lestvica!$A$8:D21,1))</f>
        <v>11.875469599999954</v>
      </c>
      <c r="Q15" s="4">
        <f t="shared" si="4"/>
        <v>397.3454696</v>
      </c>
    </row>
    <row r="16" spans="1:17" x14ac:dyDescent="0.3">
      <c r="A16" s="1" t="s">
        <v>12</v>
      </c>
      <c r="B16" s="10">
        <v>2524.64</v>
      </c>
      <c r="C16" s="4">
        <f>B16*0.221</f>
        <v>557.94543999999996</v>
      </c>
      <c r="D16" s="4"/>
      <c r="E16" s="4">
        <f>Olajšave!$F$4</f>
        <v>275.23</v>
      </c>
      <c r="F16" s="9">
        <v>0</v>
      </c>
      <c r="G16" s="4">
        <f t="shared" si="0"/>
        <v>275.23</v>
      </c>
      <c r="H16" s="4">
        <f>B16-C16-G16</f>
        <v>1691.4645599999999</v>
      </c>
      <c r="I16" s="1">
        <f>VLOOKUP(H16,Lestvica!$A$8:$D$11,3)</f>
        <v>106.95</v>
      </c>
      <c r="J16" s="3">
        <f>VLOOKUP(H16,Lestvica!$A$8:$D$11,4)*(H16-VLOOKUP(H16,Lestvica!$A$8:$D$11,1))</f>
        <v>276.21393119999999</v>
      </c>
      <c r="K16" s="3">
        <f t="shared" si="1"/>
        <v>383.16393119999998</v>
      </c>
      <c r="L16" s="4">
        <f>B16-C16-K16</f>
        <v>1583.5306287999999</v>
      </c>
      <c r="M16" s="8">
        <f t="shared" ref="M16:M17" si="5">$Q$15/$N$15</f>
        <v>0.22981701232788718</v>
      </c>
      <c r="N16" s="4">
        <f t="shared" si="3"/>
        <v>1728.9645599999999</v>
      </c>
      <c r="O16" s="4">
        <f>VLOOKUP(N16,Lestvica!$A$8:$D$11,3)</f>
        <v>385.47</v>
      </c>
      <c r="P16" s="4">
        <f>VLOOKUP(N16,Lestvica!$A$8:D22,4)*(N16-VLOOKUP(N16,Lestvica!$A$8:D22,1))</f>
        <v>11.875469599999954</v>
      </c>
      <c r="Q16" s="4">
        <f t="shared" si="4"/>
        <v>397.3454696</v>
      </c>
    </row>
    <row r="17" spans="1:17" x14ac:dyDescent="0.3">
      <c r="A17" s="11" t="s">
        <v>31</v>
      </c>
      <c r="B17" s="12">
        <v>450</v>
      </c>
      <c r="C17" s="13">
        <v>0</v>
      </c>
      <c r="D17" s="13"/>
      <c r="E17" s="13">
        <v>0</v>
      </c>
      <c r="F17" s="14">
        <v>0</v>
      </c>
      <c r="G17" s="13">
        <v>0</v>
      </c>
      <c r="H17" s="13">
        <f>B17</f>
        <v>450</v>
      </c>
      <c r="I17" s="11"/>
      <c r="J17" s="11"/>
      <c r="K17" s="15">
        <f>H17*M15</f>
        <v>103.41765554754923</v>
      </c>
      <c r="L17" s="13">
        <f>H17-K17</f>
        <v>346.5823444524508</v>
      </c>
      <c r="M17" s="16">
        <f t="shared" si="5"/>
        <v>0.22981701232788718</v>
      </c>
      <c r="N17" s="1"/>
      <c r="O17" s="1"/>
      <c r="P17" s="1"/>
      <c r="Q17" s="1"/>
    </row>
    <row r="18" spans="1:17" x14ac:dyDescent="0.3">
      <c r="A18" s="17" t="s">
        <v>32</v>
      </c>
      <c r="B18" s="18">
        <f t="shared" ref="B18:H18" si="6">SUM(B5:B17)</f>
        <v>30745.679999999997</v>
      </c>
      <c r="C18" s="18">
        <f t="shared" si="6"/>
        <v>6695.3452799999977</v>
      </c>
      <c r="D18" s="18"/>
      <c r="E18" s="18">
        <f t="shared" si="6"/>
        <v>3302.76</v>
      </c>
      <c r="F18" s="19">
        <f t="shared" si="6"/>
        <v>0</v>
      </c>
      <c r="G18" s="18">
        <f t="shared" si="6"/>
        <v>3302.76</v>
      </c>
      <c r="H18" s="18">
        <f t="shared" si="6"/>
        <v>20747.574720000001</v>
      </c>
      <c r="I18" s="18">
        <f>SUM(I5:I16)</f>
        <v>1283.4000000000003</v>
      </c>
      <c r="J18" s="18">
        <f>SUM(J5:J16)</f>
        <v>3314.5671743999997</v>
      </c>
      <c r="K18" s="20">
        <f>SUM(K5:K17)</f>
        <v>4701.3848299475485</v>
      </c>
      <c r="L18" s="18">
        <f>SUM(L5:L17)</f>
        <v>19348.949890052445</v>
      </c>
    </row>
    <row r="19" spans="1:17" x14ac:dyDescent="0.3">
      <c r="L19" s="7"/>
    </row>
    <row r="20" spans="1:17" x14ac:dyDescent="0.3">
      <c r="A20" s="25" t="s">
        <v>41</v>
      </c>
    </row>
    <row r="21" spans="1:17" x14ac:dyDescent="0.3">
      <c r="A21" s="1" t="s">
        <v>34</v>
      </c>
      <c r="B21" s="3">
        <f>C21+G21</f>
        <v>4768.1556351999998</v>
      </c>
      <c r="C21" s="1">
        <f>VLOOKUP($H$18,Lestvica!$A$2:$D$5,3)</f>
        <v>4625.6499999999996</v>
      </c>
      <c r="D21" s="1"/>
      <c r="E21" s="8">
        <f>VLOOKUP(H18,Lestvica!$A$2:$D$5,4)</f>
        <v>0.41</v>
      </c>
      <c r="F21" s="4">
        <f>H18-VLOOKUP(H18,Lestvica!A2:D5,1)</f>
        <v>347.57472000000053</v>
      </c>
      <c r="G21" s="3">
        <f>E21*F21</f>
        <v>142.5056352000002</v>
      </c>
    </row>
    <row r="22" spans="1:17" x14ac:dyDescent="0.3">
      <c r="A22" s="1" t="s">
        <v>33</v>
      </c>
      <c r="B22" s="3">
        <f>K18</f>
        <v>4701.3848299475485</v>
      </c>
    </row>
    <row r="23" spans="1:17" x14ac:dyDescent="0.3">
      <c r="A23" s="1" t="s">
        <v>35</v>
      </c>
      <c r="B23" s="24">
        <f>B21-B22</f>
        <v>66.770805252451282</v>
      </c>
    </row>
    <row r="25" spans="1:17" x14ac:dyDescent="0.3">
      <c r="A25" t="s">
        <v>57</v>
      </c>
    </row>
    <row r="26" spans="1:17" x14ac:dyDescent="0.3">
      <c r="A26" t="s">
        <v>58</v>
      </c>
    </row>
    <row r="28" spans="1:17" x14ac:dyDescent="0.3">
      <c r="A28" s="1" t="s">
        <v>45</v>
      </c>
      <c r="B28" s="1"/>
      <c r="C28" s="4"/>
      <c r="D28" s="33"/>
      <c r="G28" s="26"/>
    </row>
    <row r="29" spans="1:17" x14ac:dyDescent="0.3">
      <c r="A29" s="1" t="s">
        <v>46</v>
      </c>
      <c r="B29" s="1"/>
      <c r="C29" s="4"/>
      <c r="D29" s="33"/>
      <c r="G29" s="7"/>
    </row>
    <row r="30" spans="1:17" x14ac:dyDescent="0.3">
      <c r="A30" s="1" t="s">
        <v>47</v>
      </c>
      <c r="B30" s="1"/>
      <c r="C30" s="4"/>
      <c r="D30" s="33"/>
      <c r="G30" s="26"/>
    </row>
    <row r="31" spans="1:17" x14ac:dyDescent="0.3">
      <c r="A31" s="27" t="s">
        <v>51</v>
      </c>
      <c r="B31" s="8">
        <v>0.221</v>
      </c>
      <c r="C31" s="4"/>
      <c r="D31" s="33"/>
    </row>
    <row r="32" spans="1:17" x14ac:dyDescent="0.3">
      <c r="A32" s="27" t="s">
        <v>48</v>
      </c>
      <c r="B32" s="1"/>
      <c r="C32" s="4"/>
      <c r="D32" s="33"/>
      <c r="G32" s="7"/>
    </row>
    <row r="33" spans="1:5" x14ac:dyDescent="0.3">
      <c r="A33" s="27" t="s">
        <v>49</v>
      </c>
      <c r="B33" s="1"/>
      <c r="C33" s="4"/>
      <c r="D33" s="33"/>
    </row>
    <row r="34" spans="1:5" x14ac:dyDescent="0.3">
      <c r="A34" s="1" t="s">
        <v>50</v>
      </c>
      <c r="B34" s="1"/>
      <c r="C34" s="4"/>
      <c r="D34" s="33"/>
    </row>
    <row r="35" spans="1:5" x14ac:dyDescent="0.3">
      <c r="A35" s="1" t="s">
        <v>19</v>
      </c>
      <c r="B35" s="1"/>
      <c r="C35" s="4"/>
      <c r="D35" s="33"/>
      <c r="E35" t="s">
        <v>63</v>
      </c>
    </row>
    <row r="36" spans="1:5" x14ac:dyDescent="0.3">
      <c r="A36" s="1" t="s">
        <v>20</v>
      </c>
      <c r="B36" s="4"/>
      <c r="C36" s="4"/>
      <c r="D36" s="33"/>
      <c r="E36" t="s">
        <v>64</v>
      </c>
    </row>
    <row r="37" spans="1:5" x14ac:dyDescent="0.3">
      <c r="A37" s="1" t="s">
        <v>21</v>
      </c>
      <c r="B37" s="1"/>
      <c r="C37" s="4"/>
      <c r="D37" s="33"/>
      <c r="E37" t="s">
        <v>65</v>
      </c>
    </row>
    <row r="38" spans="1:5" x14ac:dyDescent="0.3">
      <c r="A38" s="1" t="s">
        <v>62</v>
      </c>
      <c r="B38" s="1"/>
      <c r="C38" s="4"/>
      <c r="D38" s="33"/>
    </row>
    <row r="40" spans="1:5" x14ac:dyDescent="0.3">
      <c r="A40" t="s">
        <v>59</v>
      </c>
    </row>
    <row r="42" spans="1:5" x14ac:dyDescent="0.3">
      <c r="A42" s="1" t="s">
        <v>55</v>
      </c>
      <c r="B42" s="3"/>
      <c r="C42" s="4"/>
      <c r="D42" s="33"/>
    </row>
    <row r="43" spans="1:5" x14ac:dyDescent="0.3">
      <c r="A43" s="1" t="s">
        <v>14</v>
      </c>
      <c r="B43" s="8">
        <v>0.221</v>
      </c>
      <c r="C43" s="4"/>
      <c r="D43" s="33"/>
    </row>
    <row r="44" spans="1:5" x14ac:dyDescent="0.3">
      <c r="A44" s="1" t="s">
        <v>53</v>
      </c>
      <c r="B44" s="1"/>
      <c r="C44" s="4"/>
      <c r="D44" s="33"/>
    </row>
    <row r="45" spans="1:5" x14ac:dyDescent="0.3">
      <c r="A45" s="1" t="s">
        <v>54</v>
      </c>
      <c r="B45" s="1"/>
      <c r="C45" s="1"/>
      <c r="D45" s="34"/>
    </row>
    <row r="46" spans="1:5" x14ac:dyDescent="0.3">
      <c r="A46" s="1" t="s">
        <v>61</v>
      </c>
      <c r="B46" s="1"/>
      <c r="C46" s="4"/>
      <c r="D46" s="33"/>
    </row>
    <row r="47" spans="1:5" x14ac:dyDescent="0.3">
      <c r="A47" s="1" t="s">
        <v>19</v>
      </c>
      <c r="B47" s="1"/>
      <c r="C47" s="4"/>
      <c r="D47" s="33"/>
      <c r="E47" t="s">
        <v>63</v>
      </c>
    </row>
    <row r="48" spans="1:5" x14ac:dyDescent="0.3">
      <c r="A48" s="1" t="s">
        <v>20</v>
      </c>
      <c r="B48" s="4"/>
      <c r="C48" s="3"/>
      <c r="D48" s="32"/>
      <c r="E48" t="s">
        <v>64</v>
      </c>
    </row>
    <row r="49" spans="1:17" x14ac:dyDescent="0.3">
      <c r="A49" s="1" t="s">
        <v>56</v>
      </c>
      <c r="B49" s="1"/>
      <c r="C49" s="4"/>
      <c r="D49" s="33"/>
      <c r="E49" t="s">
        <v>66</v>
      </c>
    </row>
    <row r="51" spans="1:17" x14ac:dyDescent="0.3">
      <c r="A51" t="s">
        <v>60</v>
      </c>
    </row>
    <row r="53" spans="1:17" x14ac:dyDescent="0.3">
      <c r="A53" s="25" t="s">
        <v>41</v>
      </c>
    </row>
    <row r="54" spans="1:17" x14ac:dyDescent="0.3">
      <c r="A54" s="1" t="s">
        <v>34</v>
      </c>
      <c r="B54" s="3">
        <f>C49</f>
        <v>0</v>
      </c>
    </row>
    <row r="55" spans="1:17" x14ac:dyDescent="0.3">
      <c r="A55" s="1" t="s">
        <v>33</v>
      </c>
      <c r="B55" s="3">
        <f>C37+(11*K5)</f>
        <v>4214.8032432</v>
      </c>
    </row>
    <row r="56" spans="1:17" x14ac:dyDescent="0.3">
      <c r="A56" s="1" t="s">
        <v>52</v>
      </c>
      <c r="B56" s="24">
        <f>B54-B55</f>
        <v>-4214.8032432</v>
      </c>
    </row>
    <row r="58" spans="1:17" x14ac:dyDescent="0.3">
      <c r="A58" t="s">
        <v>68</v>
      </c>
    </row>
    <row r="59" spans="1:17" x14ac:dyDescent="0.3">
      <c r="A59" t="s">
        <v>69</v>
      </c>
    </row>
    <row r="61" spans="1:17" x14ac:dyDescent="0.3">
      <c r="A61" s="1" t="s">
        <v>0</v>
      </c>
      <c r="B61" s="1" t="s">
        <v>13</v>
      </c>
      <c r="C61" s="1" t="s">
        <v>14</v>
      </c>
      <c r="D61" s="1" t="s">
        <v>67</v>
      </c>
      <c r="E61" s="1" t="s">
        <v>15</v>
      </c>
      <c r="F61" s="1" t="s">
        <v>16</v>
      </c>
      <c r="G61" s="1" t="s">
        <v>17</v>
      </c>
      <c r="H61" s="1" t="s">
        <v>18</v>
      </c>
      <c r="I61" s="1" t="s">
        <v>19</v>
      </c>
      <c r="J61" s="1" t="s">
        <v>20</v>
      </c>
      <c r="K61" s="1" t="s">
        <v>21</v>
      </c>
      <c r="L61" s="1" t="s">
        <v>22</v>
      </c>
      <c r="M61" s="1" t="s">
        <v>23</v>
      </c>
      <c r="N61" s="1" t="s">
        <v>24</v>
      </c>
      <c r="O61" s="1"/>
      <c r="P61" s="1"/>
      <c r="Q61" s="1"/>
    </row>
    <row r="62" spans="1:17" x14ac:dyDescent="0.3">
      <c r="A62" s="1" t="s">
        <v>1</v>
      </c>
      <c r="B62" s="1">
        <v>2524.64</v>
      </c>
      <c r="C62" s="1">
        <f>B62*0.221</f>
        <v>557.94543999999996</v>
      </c>
      <c r="D62" s="1"/>
      <c r="E62" s="1">
        <f>Olajšave!$F$4</f>
        <v>275.23</v>
      </c>
      <c r="F62" s="1">
        <v>0</v>
      </c>
      <c r="G62" s="1">
        <f>E62+F62</f>
        <v>275.23</v>
      </c>
      <c r="H62" s="1">
        <f>B62-C62-G62</f>
        <v>1691.4645599999999</v>
      </c>
      <c r="I62" s="1">
        <f>VLOOKUP(H62,Lestvica!$A$8:$D$11,3)</f>
        <v>106.95</v>
      </c>
      <c r="J62" s="1">
        <f>VLOOKUP(H62,Lestvica!$A$8:$D$11,4)*(H62-VLOOKUP(H62,Lestvica!$A$8:$D$11,1))</f>
        <v>276.21393119999999</v>
      </c>
      <c r="K62" s="1">
        <f>I62+J62</f>
        <v>383.16393119999998</v>
      </c>
      <c r="L62" s="1">
        <f>B62-C62-K62</f>
        <v>1583.5306287999999</v>
      </c>
      <c r="M62" s="1">
        <f>Q62/N62</f>
        <v>0.22981701232788718</v>
      </c>
      <c r="N62" s="1">
        <f>H62+$B$17/12</f>
        <v>1728.9645599999999</v>
      </c>
      <c r="O62" s="1">
        <f>VLOOKUP(N62,Lestvica!$A$8:$D$11,3)</f>
        <v>385.47</v>
      </c>
      <c r="P62" s="1">
        <f>VLOOKUP(N62,Lestvica!$A$8:D67,4)*(N62-VLOOKUP(N62,Lestvica!$A$8:D67,1))</f>
        <v>11.875469599999954</v>
      </c>
      <c r="Q62" s="1">
        <f>O62+P62</f>
        <v>397.3454696</v>
      </c>
    </row>
    <row r="63" spans="1:17" x14ac:dyDescent="0.3">
      <c r="A63" s="1" t="s">
        <v>2</v>
      </c>
      <c r="B63" s="1">
        <v>2524.64</v>
      </c>
      <c r="C63" s="1">
        <f>B63*0.221</f>
        <v>557.94543999999996</v>
      </c>
      <c r="D63" s="1"/>
      <c r="E63" s="1">
        <f>Olajšave!$F$4</f>
        <v>275.23</v>
      </c>
      <c r="F63" s="1">
        <v>0</v>
      </c>
      <c r="G63" s="1">
        <f t="shared" ref="G63:G73" si="7">E63+F63</f>
        <v>275.23</v>
      </c>
      <c r="H63" s="1">
        <f>B63-C63-G63</f>
        <v>1691.4645599999999</v>
      </c>
      <c r="I63" s="1">
        <f>VLOOKUP(H63,Lestvica!$A$8:$D$11,3)</f>
        <v>106.95</v>
      </c>
      <c r="J63" s="1">
        <f>VLOOKUP(H63,Lestvica!$A$8:$D$11,4)*(H63-VLOOKUP(H63,Lestvica!$A$8:$D$11,1))</f>
        <v>276.21393119999999</v>
      </c>
      <c r="K63" s="1">
        <f t="shared" ref="K63:K73" si="8">I63+J63</f>
        <v>383.16393119999998</v>
      </c>
      <c r="L63" s="1">
        <f>B63-C63-K63</f>
        <v>1583.5306287999999</v>
      </c>
      <c r="M63" s="1">
        <f t="shared" ref="M63:M71" si="9">Q63/N63</f>
        <v>0.22981701232788718</v>
      </c>
      <c r="N63" s="1">
        <f t="shared" ref="N63:N73" si="10">H63+$B$17/12</f>
        <v>1728.9645599999999</v>
      </c>
      <c r="O63" s="1">
        <f>VLOOKUP(N63,Lestvica!$A$8:$D$11,3)</f>
        <v>385.47</v>
      </c>
      <c r="P63" s="1">
        <f>VLOOKUP(N63,Lestvica!$A$8:D68,4)*(N63-VLOOKUP(N63,Lestvica!$A$8:D68,1))</f>
        <v>11.875469599999954</v>
      </c>
      <c r="Q63" s="1">
        <f t="shared" ref="Q63:Q73" si="11">O63+P63</f>
        <v>397.3454696</v>
      </c>
    </row>
    <row r="64" spans="1:17" x14ac:dyDescent="0.3">
      <c r="A64" s="1" t="s">
        <v>3</v>
      </c>
      <c r="B64" s="1">
        <v>2524.64</v>
      </c>
      <c r="C64" s="1">
        <f>B64*0.221</f>
        <v>557.94543999999996</v>
      </c>
      <c r="D64" s="1"/>
      <c r="E64" s="1">
        <f>Olajšave!$F$4</f>
        <v>275.23</v>
      </c>
      <c r="F64" s="1">
        <v>0</v>
      </c>
      <c r="G64" s="1">
        <f t="shared" si="7"/>
        <v>275.23</v>
      </c>
      <c r="H64" s="1">
        <f>B64-C64-G64</f>
        <v>1691.4645599999999</v>
      </c>
      <c r="I64" s="1">
        <f>VLOOKUP(H64,Lestvica!$A$8:$D$11,3)</f>
        <v>106.95</v>
      </c>
      <c r="J64" s="1">
        <f>VLOOKUP(H64,Lestvica!$A$8:$D$11,4)*(H64-VLOOKUP(H64,Lestvica!$A$8:$D$11,1))</f>
        <v>276.21393119999999</v>
      </c>
      <c r="K64" s="1">
        <f t="shared" si="8"/>
        <v>383.16393119999998</v>
      </c>
      <c r="L64" s="1">
        <f>B64-C64-K64</f>
        <v>1583.5306287999999</v>
      </c>
      <c r="M64" s="1">
        <f t="shared" si="9"/>
        <v>0.22981701232788718</v>
      </c>
      <c r="N64" s="1">
        <f t="shared" si="10"/>
        <v>1728.9645599999999</v>
      </c>
      <c r="O64" s="1">
        <f>VLOOKUP(N64,Lestvica!$A$8:$D$11,3)</f>
        <v>385.47</v>
      </c>
      <c r="P64" s="1">
        <f>VLOOKUP(N64,Lestvica!$A$8:D69,4)*(N64-VLOOKUP(N64,Lestvica!$A$8:D69,1))</f>
        <v>11.875469599999954</v>
      </c>
      <c r="Q64" s="1">
        <f t="shared" si="11"/>
        <v>397.3454696</v>
      </c>
    </row>
    <row r="65" spans="1:17" x14ac:dyDescent="0.3">
      <c r="A65" s="1" t="s">
        <v>4</v>
      </c>
      <c r="B65" s="1">
        <v>2524.64</v>
      </c>
      <c r="C65" s="1">
        <f>B65*0.221</f>
        <v>557.94543999999996</v>
      </c>
      <c r="D65" s="1"/>
      <c r="E65" s="1">
        <f>Olajšave!$F$4</f>
        <v>275.23</v>
      </c>
      <c r="F65" s="1">
        <v>0</v>
      </c>
      <c r="G65" s="1">
        <f t="shared" si="7"/>
        <v>275.23</v>
      </c>
      <c r="H65" s="1">
        <f>B65-C65-G65</f>
        <v>1691.4645599999999</v>
      </c>
      <c r="I65" s="1">
        <f>VLOOKUP(H65,Lestvica!$A$8:$D$11,3)</f>
        <v>106.95</v>
      </c>
      <c r="J65" s="1">
        <f>VLOOKUP(H65,Lestvica!$A$8:$D$11,4)*(H65-VLOOKUP(H65,Lestvica!$A$8:$D$11,1))</f>
        <v>276.21393119999999</v>
      </c>
      <c r="K65" s="1">
        <f t="shared" si="8"/>
        <v>383.16393119999998</v>
      </c>
      <c r="L65" s="1">
        <f>B65-C65-K65</f>
        <v>1583.5306287999999</v>
      </c>
      <c r="M65" s="1">
        <f t="shared" si="9"/>
        <v>0.22981701232788718</v>
      </c>
      <c r="N65" s="1">
        <f t="shared" si="10"/>
        <v>1728.9645599999999</v>
      </c>
      <c r="O65" s="1">
        <f>VLOOKUP(N65,Lestvica!$A$8:$D$11,3)</f>
        <v>385.47</v>
      </c>
      <c r="P65" s="1">
        <f>VLOOKUP(N65,Lestvica!$A$8:D70,4)*(N65-VLOOKUP(N65,Lestvica!$A$8:D70,1))</f>
        <v>11.875469599999954</v>
      </c>
      <c r="Q65" s="1">
        <f t="shared" si="11"/>
        <v>397.3454696</v>
      </c>
    </row>
    <row r="66" spans="1:17" x14ac:dyDescent="0.3">
      <c r="A66" s="1" t="s">
        <v>5</v>
      </c>
      <c r="B66" s="1">
        <v>2524.64</v>
      </c>
      <c r="C66" s="1">
        <f>B66*0.221</f>
        <v>557.94543999999996</v>
      </c>
      <c r="D66" s="1"/>
      <c r="E66" s="1">
        <f>Olajšave!$F$4</f>
        <v>275.23</v>
      </c>
      <c r="F66" s="1">
        <v>0</v>
      </c>
      <c r="G66" s="1">
        <f t="shared" si="7"/>
        <v>275.23</v>
      </c>
      <c r="H66" s="1">
        <f>B66-C66-G66</f>
        <v>1691.4645599999999</v>
      </c>
      <c r="I66" s="1">
        <f>VLOOKUP(H66,Lestvica!$A$8:$D$11,3)</f>
        <v>106.95</v>
      </c>
      <c r="J66" s="1">
        <f>VLOOKUP(H66,Lestvica!$A$8:$D$11,4)*(H66-VLOOKUP(H66,Lestvica!$A$8:$D$11,1))</f>
        <v>276.21393119999999</v>
      </c>
      <c r="K66" s="1">
        <f t="shared" si="8"/>
        <v>383.16393119999998</v>
      </c>
      <c r="L66" s="1">
        <f>B66-C66-K66</f>
        <v>1583.5306287999999</v>
      </c>
      <c r="M66" s="1">
        <f t="shared" si="9"/>
        <v>0.22981701232788718</v>
      </c>
      <c r="N66" s="1">
        <f t="shared" si="10"/>
        <v>1728.9645599999999</v>
      </c>
      <c r="O66" s="1">
        <f>VLOOKUP(N66,Lestvica!$A$8:$D$11,3)</f>
        <v>385.47</v>
      </c>
      <c r="P66" s="1">
        <f>VLOOKUP(N66,Lestvica!$A$8:D71,4)*(N66-VLOOKUP(N66,Lestvica!$A$8:D71,1))</f>
        <v>11.875469599999954</v>
      </c>
      <c r="Q66" s="1">
        <f t="shared" si="11"/>
        <v>397.3454696</v>
      </c>
    </row>
    <row r="67" spans="1:17" x14ac:dyDescent="0.3">
      <c r="A67" s="1" t="s">
        <v>6</v>
      </c>
      <c r="B67" s="1">
        <v>2524.64</v>
      </c>
      <c r="C67" s="1">
        <f>B67*0.221</f>
        <v>557.94543999999996</v>
      </c>
      <c r="D67" s="1"/>
      <c r="E67" s="1">
        <f>Olajšave!$F$4</f>
        <v>275.23</v>
      </c>
      <c r="F67" s="1">
        <v>0</v>
      </c>
      <c r="G67" s="1">
        <f t="shared" si="7"/>
        <v>275.23</v>
      </c>
      <c r="H67" s="1">
        <f>B67-C67-G67</f>
        <v>1691.4645599999999</v>
      </c>
      <c r="I67" s="1">
        <f>VLOOKUP(H67,Lestvica!$A$8:$D$11,3)</f>
        <v>106.95</v>
      </c>
      <c r="J67" s="1">
        <f>VLOOKUP(H67,Lestvica!$A$8:$D$11,4)*(H67-VLOOKUP(H67,Lestvica!$A$8:$D$11,1))</f>
        <v>276.21393119999999</v>
      </c>
      <c r="K67" s="1">
        <f t="shared" si="8"/>
        <v>383.16393119999998</v>
      </c>
      <c r="L67" s="1">
        <f>B67-C67-K67</f>
        <v>1583.5306287999999</v>
      </c>
      <c r="M67" s="1">
        <f t="shared" si="9"/>
        <v>0.22981701232788718</v>
      </c>
      <c r="N67" s="1">
        <f t="shared" si="10"/>
        <v>1728.9645599999999</v>
      </c>
      <c r="O67" s="1">
        <f>VLOOKUP(N67,Lestvica!$A$8:$D$11,3)</f>
        <v>385.47</v>
      </c>
      <c r="P67" s="1">
        <f>VLOOKUP(N67,Lestvica!$A$8:D72,4)*(N67-VLOOKUP(N67,Lestvica!$A$8:D72,1))</f>
        <v>11.875469599999954</v>
      </c>
      <c r="Q67" s="1">
        <f t="shared" si="11"/>
        <v>397.3454696</v>
      </c>
    </row>
    <row r="68" spans="1:17" x14ac:dyDescent="0.3">
      <c r="A68" s="1" t="s">
        <v>7</v>
      </c>
      <c r="B68" s="1">
        <v>2524.64</v>
      </c>
      <c r="C68" s="1">
        <f>B68*0.221</f>
        <v>557.94543999999996</v>
      </c>
      <c r="D68" s="1"/>
      <c r="E68" s="1">
        <f>Olajšave!$F$4</f>
        <v>275.23</v>
      </c>
      <c r="F68" s="1">
        <v>0</v>
      </c>
      <c r="G68" s="1">
        <f t="shared" si="7"/>
        <v>275.23</v>
      </c>
      <c r="H68" s="1">
        <f>B68-C68-G68</f>
        <v>1691.4645599999999</v>
      </c>
      <c r="I68" s="1">
        <f>VLOOKUP(H68,Lestvica!$A$8:$D$11,3)</f>
        <v>106.95</v>
      </c>
      <c r="J68" s="1">
        <f>VLOOKUP(H68,Lestvica!$A$8:$D$11,4)*(H68-VLOOKUP(H68,Lestvica!$A$8:$D$11,1))</f>
        <v>276.21393119999999</v>
      </c>
      <c r="K68" s="1">
        <f t="shared" si="8"/>
        <v>383.16393119999998</v>
      </c>
      <c r="L68" s="1">
        <f>B68-C68-K68</f>
        <v>1583.5306287999999</v>
      </c>
      <c r="M68" s="1">
        <f t="shared" si="9"/>
        <v>0.22981701232788718</v>
      </c>
      <c r="N68" s="1">
        <f t="shared" si="10"/>
        <v>1728.9645599999999</v>
      </c>
      <c r="O68" s="1">
        <f>VLOOKUP(N68,Lestvica!$A$8:$D$11,3)</f>
        <v>385.47</v>
      </c>
      <c r="P68" s="1">
        <f>VLOOKUP(N68,Lestvica!$A$8:D73,4)*(N68-VLOOKUP(N68,Lestvica!$A$8:D73,1))</f>
        <v>11.875469599999954</v>
      </c>
      <c r="Q68" s="1">
        <f t="shared" si="11"/>
        <v>397.3454696</v>
      </c>
    </row>
    <row r="69" spans="1:17" x14ac:dyDescent="0.3">
      <c r="A69" s="1" t="s">
        <v>8</v>
      </c>
      <c r="B69" s="1">
        <v>2524.64</v>
      </c>
      <c r="C69" s="1">
        <f>B69*0.221</f>
        <v>557.94543999999996</v>
      </c>
      <c r="D69" s="1"/>
      <c r="E69" s="1">
        <f>Olajšave!$F$4</f>
        <v>275.23</v>
      </c>
      <c r="F69" s="1">
        <v>0</v>
      </c>
      <c r="G69" s="1">
        <f t="shared" si="7"/>
        <v>275.23</v>
      </c>
      <c r="H69" s="1">
        <f>B69-C69-G69</f>
        <v>1691.4645599999999</v>
      </c>
      <c r="I69" s="1">
        <f>VLOOKUP(H69,Lestvica!$A$8:$D$11,3)</f>
        <v>106.95</v>
      </c>
      <c r="J69" s="1">
        <f>VLOOKUP(H69,Lestvica!$A$8:$D$11,4)*(H69-VLOOKUP(H69,Lestvica!$A$8:$D$11,1))</f>
        <v>276.21393119999999</v>
      </c>
      <c r="K69" s="1">
        <f t="shared" si="8"/>
        <v>383.16393119999998</v>
      </c>
      <c r="L69" s="1">
        <f>B69-C69-K69</f>
        <v>1583.5306287999999</v>
      </c>
      <c r="M69" s="1">
        <f t="shared" si="9"/>
        <v>0.22981701232788718</v>
      </c>
      <c r="N69" s="1">
        <f t="shared" si="10"/>
        <v>1728.9645599999999</v>
      </c>
      <c r="O69" s="1">
        <f>VLOOKUP(N69,Lestvica!$A$8:$D$11,3)</f>
        <v>385.47</v>
      </c>
      <c r="P69" s="1">
        <f>VLOOKUP(N69,Lestvica!$A$8:D74,4)*(N69-VLOOKUP(N69,Lestvica!$A$8:D74,1))</f>
        <v>11.875469599999954</v>
      </c>
      <c r="Q69" s="1">
        <f t="shared" si="11"/>
        <v>397.3454696</v>
      </c>
    </row>
    <row r="70" spans="1:17" x14ac:dyDescent="0.3">
      <c r="A70" s="1" t="s">
        <v>9</v>
      </c>
      <c r="B70" s="1">
        <v>2524.64</v>
      </c>
      <c r="C70" s="1">
        <f>B70*0.221</f>
        <v>557.94543999999996</v>
      </c>
      <c r="D70" s="1"/>
      <c r="E70" s="1">
        <f>Olajšave!$F$4</f>
        <v>275.23</v>
      </c>
      <c r="F70" s="1">
        <v>0</v>
      </c>
      <c r="G70" s="1">
        <f t="shared" si="7"/>
        <v>275.23</v>
      </c>
      <c r="H70" s="1">
        <f>B70-C70-G70</f>
        <v>1691.4645599999999</v>
      </c>
      <c r="I70" s="1">
        <f>VLOOKUP(H70,Lestvica!$A$8:$D$11,3)</f>
        <v>106.95</v>
      </c>
      <c r="J70" s="1">
        <f>VLOOKUP(H70,Lestvica!$A$8:$D$11,4)*(H70-VLOOKUP(H70,Lestvica!$A$8:$D$11,1))</f>
        <v>276.21393119999999</v>
      </c>
      <c r="K70" s="1">
        <f t="shared" si="8"/>
        <v>383.16393119999998</v>
      </c>
      <c r="L70" s="1">
        <f>B70-C70-K70</f>
        <v>1583.5306287999999</v>
      </c>
      <c r="M70" s="1">
        <f t="shared" si="9"/>
        <v>0.22981701232788718</v>
      </c>
      <c r="N70" s="1">
        <f t="shared" si="10"/>
        <v>1728.9645599999999</v>
      </c>
      <c r="O70" s="1">
        <f>VLOOKUP(N70,Lestvica!$A$8:$D$11,3)</f>
        <v>385.47</v>
      </c>
      <c r="P70" s="1">
        <f>VLOOKUP(N70,Lestvica!$A$8:D75,4)*(N70-VLOOKUP(N70,Lestvica!$A$8:D75,1))</f>
        <v>11.875469599999954</v>
      </c>
      <c r="Q70" s="1">
        <f t="shared" si="11"/>
        <v>397.3454696</v>
      </c>
    </row>
    <row r="71" spans="1:17" x14ac:dyDescent="0.3">
      <c r="A71" s="1" t="s">
        <v>10</v>
      </c>
      <c r="B71" s="1">
        <v>2524.64</v>
      </c>
      <c r="C71" s="1">
        <f>B71*0.221</f>
        <v>557.94543999999996</v>
      </c>
      <c r="D71" s="1"/>
      <c r="E71" s="1">
        <f>Olajšave!$F$4</f>
        <v>275.23</v>
      </c>
      <c r="F71" s="1">
        <v>0</v>
      </c>
      <c r="G71" s="1">
        <f t="shared" si="7"/>
        <v>275.23</v>
      </c>
      <c r="H71" s="1">
        <f>B71-C71-G71</f>
        <v>1691.4645599999999</v>
      </c>
      <c r="I71" s="1">
        <f>VLOOKUP(H71,Lestvica!$A$8:$D$11,3)</f>
        <v>106.95</v>
      </c>
      <c r="J71" s="1">
        <f>VLOOKUP(H71,Lestvica!$A$8:$D$11,4)*(H71-VLOOKUP(H71,Lestvica!$A$8:$D$11,1))</f>
        <v>276.21393119999999</v>
      </c>
      <c r="K71" s="1">
        <f t="shared" si="8"/>
        <v>383.16393119999998</v>
      </c>
      <c r="L71" s="1">
        <f>B71-C71-K71</f>
        <v>1583.5306287999999</v>
      </c>
      <c r="M71" s="1">
        <f t="shared" si="9"/>
        <v>0.22981701232788718</v>
      </c>
      <c r="N71" s="1">
        <f t="shared" si="10"/>
        <v>1728.9645599999999</v>
      </c>
      <c r="O71" s="1">
        <f>VLOOKUP(N71,Lestvica!$A$8:$D$11,3)</f>
        <v>385.47</v>
      </c>
      <c r="P71" s="1">
        <f>VLOOKUP(N71,Lestvica!$A$8:D76,4)*(N71-VLOOKUP(N71,Lestvica!$A$8:D76,1))</f>
        <v>11.875469599999954</v>
      </c>
      <c r="Q71" s="1">
        <f t="shared" si="11"/>
        <v>397.3454696</v>
      </c>
    </row>
    <row r="72" spans="1:17" x14ac:dyDescent="0.3">
      <c r="A72" s="1" t="s">
        <v>11</v>
      </c>
      <c r="B72" s="1">
        <v>2524.64</v>
      </c>
      <c r="C72" s="1">
        <f>B72*0.221</f>
        <v>557.94543999999996</v>
      </c>
      <c r="D72" s="1"/>
      <c r="E72" s="1">
        <f>Olajšave!$F$4</f>
        <v>275.23</v>
      </c>
      <c r="F72" s="1">
        <v>0</v>
      </c>
      <c r="G72" s="1">
        <f t="shared" si="7"/>
        <v>275.23</v>
      </c>
      <c r="H72" s="1">
        <f>B72-C72-G72</f>
        <v>1691.4645599999999</v>
      </c>
      <c r="I72" s="1">
        <f>VLOOKUP(H72,Lestvica!$A$8:$D$11,3)</f>
        <v>106.95</v>
      </c>
      <c r="J72" s="1">
        <f>VLOOKUP(H72,Lestvica!$A$8:$D$11,4)*(H72-VLOOKUP(H72,Lestvica!$A$8:$D$11,1))</f>
        <v>276.21393119999999</v>
      </c>
      <c r="K72" s="1">
        <f t="shared" si="8"/>
        <v>383.16393119999998</v>
      </c>
      <c r="L72" s="1">
        <f>B72-C72-K72</f>
        <v>1583.5306287999999</v>
      </c>
      <c r="M72" s="1">
        <f>$Q$15/$N$15</f>
        <v>0.22981701232788718</v>
      </c>
      <c r="N72" s="1">
        <f t="shared" si="10"/>
        <v>1728.9645599999999</v>
      </c>
      <c r="O72" s="1">
        <f>VLOOKUP(N72,Lestvica!$A$8:$D$11,3)</f>
        <v>385.47</v>
      </c>
      <c r="P72" s="1">
        <f>VLOOKUP(N72,Lestvica!$A$8:D77,4)*(N72-VLOOKUP(N72,Lestvica!$A$8:D77,1))</f>
        <v>11.875469599999954</v>
      </c>
      <c r="Q72" s="1">
        <f t="shared" si="11"/>
        <v>397.3454696</v>
      </c>
    </row>
    <row r="73" spans="1:17" x14ac:dyDescent="0.3">
      <c r="A73" s="1" t="s">
        <v>12</v>
      </c>
      <c r="B73" s="1">
        <v>2524.64</v>
      </c>
      <c r="C73" s="1">
        <f>B73*0.221</f>
        <v>557.94543999999996</v>
      </c>
      <c r="D73" s="1"/>
      <c r="E73" s="1">
        <f>Olajšave!$F$4</f>
        <v>275.23</v>
      </c>
      <c r="F73" s="1">
        <v>0</v>
      </c>
      <c r="G73" s="1">
        <f t="shared" si="7"/>
        <v>275.23</v>
      </c>
      <c r="H73" s="1">
        <f>B73-C73-G73</f>
        <v>1691.4645599999999</v>
      </c>
      <c r="I73" s="1">
        <f>VLOOKUP(H73,Lestvica!$A$8:$D$11,3)</f>
        <v>106.95</v>
      </c>
      <c r="J73" s="1">
        <f>VLOOKUP(H73,Lestvica!$A$8:$D$11,4)*(H73-VLOOKUP(H73,Lestvica!$A$8:$D$11,1))</f>
        <v>276.21393119999999</v>
      </c>
      <c r="K73" s="1">
        <f t="shared" si="8"/>
        <v>383.16393119999998</v>
      </c>
      <c r="L73" s="1">
        <f>B73-C73-K73</f>
        <v>1583.5306287999999</v>
      </c>
      <c r="M73" s="1">
        <f t="shared" ref="M73:M74" si="12">$Q$15/$N$15</f>
        <v>0.22981701232788718</v>
      </c>
      <c r="N73" s="1">
        <f t="shared" si="10"/>
        <v>1728.9645599999999</v>
      </c>
      <c r="O73" s="1">
        <f>VLOOKUP(N73,Lestvica!$A$8:$D$11,3)</f>
        <v>385.47</v>
      </c>
      <c r="P73" s="1">
        <f>VLOOKUP(N73,Lestvica!$A$8:D78,4)*(N73-VLOOKUP(N73,Lestvica!$A$8:D78,1))</f>
        <v>11.875469599999954</v>
      </c>
      <c r="Q73" s="1">
        <f t="shared" si="11"/>
        <v>397.3454696</v>
      </c>
    </row>
    <row r="74" spans="1:17" x14ac:dyDescent="0.3">
      <c r="A74" s="1" t="s">
        <v>31</v>
      </c>
      <c r="B74" s="1">
        <v>450</v>
      </c>
      <c r="C74" s="1">
        <v>0</v>
      </c>
      <c r="D74" s="1"/>
      <c r="E74" s="1">
        <v>0</v>
      </c>
      <c r="F74" s="1">
        <v>0</v>
      </c>
      <c r="G74" s="1">
        <v>0</v>
      </c>
      <c r="H74" s="1">
        <f>B74</f>
        <v>450</v>
      </c>
      <c r="I74" s="1"/>
      <c r="J74" s="1"/>
      <c r="K74" s="1">
        <f>H74*M72</f>
        <v>103.41765554754923</v>
      </c>
      <c r="L74" s="1">
        <f>H74-K74</f>
        <v>346.5823444524508</v>
      </c>
      <c r="M74" s="1">
        <f t="shared" si="12"/>
        <v>0.22981701232788718</v>
      </c>
      <c r="N74" s="1"/>
      <c r="O74" s="1"/>
      <c r="P74" s="1"/>
      <c r="Q74" s="1"/>
    </row>
    <row r="75" spans="1:17" x14ac:dyDescent="0.3">
      <c r="A75" s="1" t="s">
        <v>32</v>
      </c>
      <c r="B75" s="1">
        <f t="shared" ref="B75:H75" si="13">SUM(B62:B74)</f>
        <v>30745.679999999997</v>
      </c>
      <c r="C75" s="1">
        <f t="shared" si="13"/>
        <v>6695.3452799999977</v>
      </c>
      <c r="D75" s="1"/>
      <c r="E75" s="1">
        <f t="shared" si="13"/>
        <v>3302.76</v>
      </c>
      <c r="F75" s="1">
        <f t="shared" si="13"/>
        <v>0</v>
      </c>
      <c r="G75" s="1">
        <f t="shared" si="13"/>
        <v>3302.76</v>
      </c>
      <c r="H75" s="1">
        <f t="shared" si="13"/>
        <v>20747.574720000001</v>
      </c>
      <c r="I75" s="1">
        <f>SUM(I62:I73)</f>
        <v>1283.4000000000003</v>
      </c>
      <c r="J75" s="1">
        <f>SUM(J62:J73)</f>
        <v>3314.5671743999997</v>
      </c>
      <c r="K75" s="1">
        <f>SUM(K62:K74)</f>
        <v>4701.3848299475485</v>
      </c>
      <c r="L75" s="1">
        <f>SUM(L62:L74)</f>
        <v>19348.949890052445</v>
      </c>
      <c r="M75" s="1"/>
      <c r="N75" s="1"/>
      <c r="O75" s="1"/>
      <c r="P75" s="1"/>
      <c r="Q75" s="1"/>
    </row>
  </sheetData>
  <mergeCells count="1">
    <mergeCell ref="N4:Q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B14" sqref="B14"/>
    </sheetView>
  </sheetViews>
  <sheetFormatPr defaultRowHeight="14.4" x14ac:dyDescent="0.3"/>
  <cols>
    <col min="1" max="1" width="14.77734375" customWidth="1"/>
    <col min="2" max="2" width="18" customWidth="1"/>
    <col min="3" max="3" width="13.109375" customWidth="1"/>
    <col min="4" max="4" width="17.5546875" customWidth="1"/>
  </cols>
  <sheetData>
    <row r="1" spans="1:4" x14ac:dyDescent="0.3">
      <c r="A1" s="6" t="s">
        <v>25</v>
      </c>
      <c r="B1" s="6" t="s">
        <v>26</v>
      </c>
      <c r="C1" s="6" t="s">
        <v>19</v>
      </c>
      <c r="D1" s="6" t="s">
        <v>27</v>
      </c>
    </row>
    <row r="2" spans="1:4" x14ac:dyDescent="0.3">
      <c r="A2" s="4">
        <v>0</v>
      </c>
      <c r="B2" s="4">
        <v>8021.34</v>
      </c>
      <c r="C2" s="4">
        <v>0</v>
      </c>
      <c r="D2" s="2">
        <v>0.16</v>
      </c>
    </row>
    <row r="3" spans="1:4" x14ac:dyDescent="0.3">
      <c r="A3" s="4">
        <f>B2</f>
        <v>8021.34</v>
      </c>
      <c r="B3" s="4">
        <v>20400</v>
      </c>
      <c r="C3" s="4">
        <v>1283.4100000000001</v>
      </c>
      <c r="D3" s="2">
        <v>0.27</v>
      </c>
    </row>
    <row r="4" spans="1:4" x14ac:dyDescent="0.3">
      <c r="A4" s="4">
        <f>B3</f>
        <v>20400</v>
      </c>
      <c r="B4" s="4">
        <v>70907.199999999997</v>
      </c>
      <c r="C4" s="4">
        <v>4625.6499999999996</v>
      </c>
      <c r="D4" s="2">
        <v>0.41</v>
      </c>
    </row>
    <row r="5" spans="1:4" x14ac:dyDescent="0.3">
      <c r="A5" s="4">
        <v>70907.199999999997</v>
      </c>
      <c r="B5" s="4"/>
      <c r="C5" s="4">
        <v>25333.599999999999</v>
      </c>
      <c r="D5" s="2">
        <v>0.5</v>
      </c>
    </row>
    <row r="7" spans="1:4" x14ac:dyDescent="0.3">
      <c r="A7" s="29" t="s">
        <v>28</v>
      </c>
      <c r="B7" s="29"/>
      <c r="C7" s="29"/>
      <c r="D7" s="29"/>
    </row>
    <row r="8" spans="1:4" x14ac:dyDescent="0.3">
      <c r="A8" s="4">
        <f>A2/12</f>
        <v>0</v>
      </c>
      <c r="B8" s="4">
        <f t="shared" ref="B8:C10" si="0">ROUND(B2/12,2)</f>
        <v>668.45</v>
      </c>
      <c r="C8" s="4">
        <f t="shared" si="0"/>
        <v>0</v>
      </c>
      <c r="D8" s="2">
        <v>0.16</v>
      </c>
    </row>
    <row r="9" spans="1:4" x14ac:dyDescent="0.3">
      <c r="A9" s="4">
        <f>B8</f>
        <v>668.45</v>
      </c>
      <c r="B9" s="4">
        <f t="shared" si="0"/>
        <v>1700</v>
      </c>
      <c r="C9" s="4">
        <f t="shared" si="0"/>
        <v>106.95</v>
      </c>
      <c r="D9" s="2">
        <v>0.27</v>
      </c>
    </row>
    <row r="10" spans="1:4" x14ac:dyDescent="0.3">
      <c r="A10" s="4">
        <f>B9</f>
        <v>1700</v>
      </c>
      <c r="B10" s="4">
        <f t="shared" si="0"/>
        <v>5908.93</v>
      </c>
      <c r="C10" s="4">
        <f t="shared" si="0"/>
        <v>385.47</v>
      </c>
      <c r="D10" s="2">
        <v>0.41</v>
      </c>
    </row>
    <row r="11" spans="1:4" x14ac:dyDescent="0.3">
      <c r="A11" s="4">
        <f>B10</f>
        <v>5908.93</v>
      </c>
      <c r="B11" s="4"/>
      <c r="C11" s="4">
        <f>ROUND(C5/12,2)</f>
        <v>2111.13</v>
      </c>
      <c r="D11" s="2">
        <v>0.5</v>
      </c>
    </row>
  </sheetData>
  <sheetProtection sheet="1" objects="1" scenarios="1"/>
  <mergeCells count="1">
    <mergeCell ref="A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27" sqref="F27"/>
    </sheetView>
  </sheetViews>
  <sheetFormatPr defaultRowHeight="14.4" x14ac:dyDescent="0.3"/>
  <cols>
    <col min="1" max="1" width="15.77734375" customWidth="1"/>
    <col min="2" max="2" width="17.5546875" customWidth="1"/>
    <col min="3" max="3" width="19.44140625" customWidth="1"/>
  </cols>
  <sheetData>
    <row r="1" spans="1:6" x14ac:dyDescent="0.3">
      <c r="A1" s="5" t="s">
        <v>25</v>
      </c>
      <c r="B1" s="5" t="s">
        <v>26</v>
      </c>
      <c r="C1" s="5" t="s">
        <v>29</v>
      </c>
      <c r="D1" s="30" t="s">
        <v>30</v>
      </c>
      <c r="E1" s="31"/>
      <c r="F1" s="31"/>
    </row>
    <row r="2" spans="1:6" x14ac:dyDescent="0.3">
      <c r="A2" s="4">
        <v>0</v>
      </c>
      <c r="B2" s="4">
        <v>10866.37</v>
      </c>
      <c r="C2" s="4">
        <v>6519.82</v>
      </c>
      <c r="D2" s="4">
        <f>ROUND(A2/12,2)</f>
        <v>0</v>
      </c>
      <c r="E2" s="4">
        <f>ROUND(B2/12,2)</f>
        <v>905.53</v>
      </c>
      <c r="F2" s="4">
        <f>ROUND(C2/12,2)</f>
        <v>543.32000000000005</v>
      </c>
    </row>
    <row r="3" spans="1:6" x14ac:dyDescent="0.3">
      <c r="A3" s="4">
        <f>B2</f>
        <v>10866.37</v>
      </c>
      <c r="B3" s="4">
        <v>12570.89</v>
      </c>
      <c r="C3" s="4">
        <v>4418.6400000000003</v>
      </c>
      <c r="D3" s="4">
        <f>ROUND(A3/12,2)</f>
        <v>905.53</v>
      </c>
      <c r="E3" s="4">
        <f t="shared" ref="E3:F4" si="0">ROUND(B3/12,2)</f>
        <v>1047.57</v>
      </c>
      <c r="F3" s="4">
        <f t="shared" si="0"/>
        <v>368.22</v>
      </c>
    </row>
    <row r="4" spans="1:6" x14ac:dyDescent="0.3">
      <c r="A4" s="4">
        <f>B3</f>
        <v>12570.89</v>
      </c>
      <c r="B4" s="4">
        <v>0</v>
      </c>
      <c r="C4" s="4">
        <v>3302.7</v>
      </c>
      <c r="D4" s="4">
        <f>ROUND(A4/12,2)</f>
        <v>1047.57</v>
      </c>
      <c r="E4" s="4">
        <f t="shared" si="0"/>
        <v>0</v>
      </c>
      <c r="F4" s="4">
        <f t="shared" si="0"/>
        <v>275.23</v>
      </c>
    </row>
  </sheetData>
  <sheetProtection sheet="1" objects="1" scenarios="1"/>
  <mergeCells count="1">
    <mergeCell ref="D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NAVODILA</vt:lpstr>
      <vt:lpstr>Plača</vt:lpstr>
      <vt:lpstr>Lestvica</vt:lpstr>
      <vt:lpstr>Olajšave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2016-06-12T07:09:36Z</dcterms:created>
  <dcterms:modified xsi:type="dcterms:W3CDTF">2016-06-12T17:08:53Z</dcterms:modified>
</cp:coreProperties>
</file>