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naloge_20_10_20\"/>
    </mc:Choice>
  </mc:AlternateContent>
  <xr:revisionPtr revIDLastSave="0" documentId="8_{CC9DF117-9002-4AEE-9A4D-2EB8C0AA235B}" xr6:coauthVersionLast="45" xr6:coauthVersionMax="45" xr10:uidLastSave="{00000000-0000-0000-0000-000000000000}"/>
  <bookViews>
    <workbookView xWindow="-120" yWindow="-120" windowWidth="29040" windowHeight="17640" firstSheet="1" activeTab="1" xr2:uid="{00000000-000D-0000-FFFF-FFFF00000000}"/>
  </bookViews>
  <sheets>
    <sheet name="List1" sheetId="1" state="hidden" r:id="rId1"/>
    <sheet name="1. naloga" sheetId="8" r:id="rId2"/>
    <sheet name="3. naloga reš" sheetId="7" state="hidden" r:id="rId3"/>
  </sheets>
  <definedNames>
    <definedName name="_Toc503447765" localSheetId="1">'1. naloga'!$P$20</definedName>
    <definedName name="_Toc503447765" localSheetId="2">'3. naloga reš'!$P$20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4" i="8" l="1"/>
  <c r="F21" i="7"/>
  <c r="F20" i="7"/>
  <c r="F19" i="7"/>
  <c r="F18" i="7"/>
  <c r="F17" i="7"/>
  <c r="F15" i="7"/>
  <c r="K6" i="7"/>
  <c r="K5" i="7"/>
  <c r="F14" i="7"/>
  <c r="K18" i="7"/>
  <c r="K17" i="7"/>
  <c r="K16" i="7"/>
  <c r="K14" i="7"/>
  <c r="F12" i="7"/>
  <c r="K11" i="7"/>
  <c r="D11" i="7" s="1"/>
  <c r="F11" i="7" s="1"/>
  <c r="F13" i="7" s="1"/>
  <c r="K15" i="7" s="1"/>
  <c r="K15" i="8" l="1"/>
  <c r="D42" i="1"/>
  <c r="E46" i="1"/>
  <c r="C41" i="1" s="1"/>
  <c r="E42" i="1"/>
  <c r="E38" i="1"/>
  <c r="E27" i="1"/>
  <c r="G32" i="1"/>
  <c r="G28" i="1"/>
  <c r="C36" i="1" l="1"/>
  <c r="C37" i="1" s="1"/>
  <c r="C40" i="1" s="1"/>
  <c r="C22" i="1"/>
  <c r="C21" i="1"/>
  <c r="C19" i="1"/>
  <c r="C20" i="1" s="1"/>
  <c r="C46" i="1" l="1"/>
  <c r="C47" i="1"/>
  <c r="C48" i="1" s="1"/>
  <c r="C23" i="1"/>
  <c r="C44" i="1"/>
  <c r="C45" i="1" s="1"/>
  <c r="G24" i="1" l="1"/>
  <c r="C24" i="1"/>
  <c r="C27" i="1" s="1"/>
  <c r="C28" i="1" s="1"/>
  <c r="C30" i="1"/>
  <c r="C31" i="1" s="1"/>
  <c r="C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14" authorId="0" shapeId="0" xr:uid="{BB451AB2-DAC5-48C3-8E36-B70AE338BAF7}">
      <text>
        <r>
          <rPr>
            <b/>
            <sz val="9"/>
            <color indexed="81"/>
            <rFont val="Segoe UI"/>
            <family val="2"/>
            <charset val="238"/>
          </rPr>
          <t>plača delojemalec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0" authorId="0" shapeId="0" xr:uid="{6ACD69B1-D95D-46D5-AEB2-D28EEB61B6D6}">
      <text>
        <r>
          <rPr>
            <b/>
            <sz val="9"/>
            <color indexed="81"/>
            <rFont val="Segoe UI"/>
            <family val="2"/>
            <charset val="238"/>
          </rPr>
          <t>plača delodajalec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14" authorId="0" shapeId="0" xr:uid="{A08AD7A2-687A-4331-A66A-378C2711BE90}">
      <text>
        <r>
          <rPr>
            <b/>
            <sz val="9"/>
            <color indexed="81"/>
            <rFont val="Segoe UI"/>
            <family val="2"/>
            <charset val="238"/>
          </rPr>
          <t>plača delojemalec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C20" authorId="0" shapeId="0" xr:uid="{D5DE2172-05CE-49A3-BFD9-F6FF7271926D}">
      <text>
        <r>
          <rPr>
            <b/>
            <sz val="9"/>
            <color indexed="81"/>
            <rFont val="Segoe UI"/>
            <family val="2"/>
            <charset val="238"/>
          </rPr>
          <t>plača delodajalec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<sst xmlns="http://schemas.openxmlformats.org/spreadsheetml/2006/main" count="213" uniqueCount="92">
  <si>
    <t>-VDČ</t>
  </si>
  <si>
    <t>-SO</t>
  </si>
  <si>
    <t>neto plača</t>
  </si>
  <si>
    <t>osnova za dohodnino</t>
  </si>
  <si>
    <t>Skupni strošek plače</t>
  </si>
  <si>
    <t xml:space="preserve">delodajalec mora plačati razliko do minimalne plače in prispevke </t>
  </si>
  <si>
    <t>do minimalne osnove. Delavec je zavezanec za plačilo</t>
  </si>
  <si>
    <t xml:space="preserve">Podatki za obračun: </t>
  </si>
  <si>
    <t xml:space="preserve">minimalna plača </t>
  </si>
  <si>
    <t>minimalna osnova za prisp.</t>
  </si>
  <si>
    <t>dodatek do min. plače</t>
  </si>
  <si>
    <t>22,10% PP v breme del.</t>
  </si>
  <si>
    <t>*+ dodatna splošna olajšava</t>
  </si>
  <si>
    <t>če ne želi obvesti delodajalca</t>
  </si>
  <si>
    <t>bruto dohodek -osnova za obr.</t>
  </si>
  <si>
    <t>AD 16%</t>
  </si>
  <si>
    <t>16,10% PP v breme delod.</t>
  </si>
  <si>
    <t>ne sme biti nižja od 700€.</t>
  </si>
  <si>
    <t>osnovni bruto</t>
  </si>
  <si>
    <t>od osnovne plače</t>
  </si>
  <si>
    <t>Minimalna plača -  MP</t>
  </si>
  <si>
    <t>dodatek na delovno dobo 4%</t>
  </si>
  <si>
    <t>dodatek na težje pogoje dela 2%</t>
  </si>
  <si>
    <t>b) brez dodatkov</t>
  </si>
  <si>
    <t>dodatek na delovno dobo 0%</t>
  </si>
  <si>
    <t>dodatek na težje pogoje dela 0%</t>
  </si>
  <si>
    <t xml:space="preserve">v breme </t>
  </si>
  <si>
    <t>delavca</t>
  </si>
  <si>
    <t>€</t>
  </si>
  <si>
    <t>a) z dodatki</t>
  </si>
  <si>
    <t>22,10% PP v breme del.+dod.</t>
  </si>
  <si>
    <t>16,10% PP v breme delod.+dod.</t>
  </si>
  <si>
    <t>osnovni bruto -osnovna plača</t>
  </si>
  <si>
    <t xml:space="preserve">bruto dohodek </t>
  </si>
  <si>
    <t>Razlika do minimalne osnove za plačilo prispevkov</t>
  </si>
  <si>
    <t>(1017,23-993,38)</t>
  </si>
  <si>
    <t>dodatni prispevki v breme delod. Od razlike</t>
  </si>
  <si>
    <t>Pazi  SEŠTEVEK</t>
  </si>
  <si>
    <t>(1017,23-940,58)</t>
  </si>
  <si>
    <t xml:space="preserve">Minimalna plača, minimalna osnova za plačilo prispevkov* </t>
  </si>
  <si>
    <t>prispevkov za zap. in SV ostalo pa plača delodajalec</t>
  </si>
  <si>
    <t>Na osnovi podatkov izdelajte obračun plače</t>
  </si>
  <si>
    <t xml:space="preserve">Delavec je prejel za mesec december 200x leta bruto plačo 880,00 €. Delovna doba delavca je bila 8 let. Delavcu pripada 2 % dodatek za težje delovne pogoje. Ima 1 otroka kot VDČ. Na kaj mora biti delodajalec pozoren pri obračunu plače? Izdelajte obračun! </t>
  </si>
  <si>
    <t>OPOMBA: prispevki delodajalca 37,96%, delojemalca pa 0,24%!</t>
  </si>
  <si>
    <t xml:space="preserve">Opomba: minimalna plača 940,58 evrov bruto (nova definicija minimalne plače), minimalna osnova za plačilo prispevkov od 1. 1. 2020 do 28. 2. 2020 znaša 975,30 eur (58 % povprečne letne plače zaposlenih v RS. </t>
  </si>
  <si>
    <t>a)      Ob upoštevanju dodatne splošne olajšave.</t>
  </si>
  <si>
    <t xml:space="preserve">b)      Isti obračun brez dodatkov. </t>
  </si>
  <si>
    <t>NALOGA:</t>
  </si>
  <si>
    <t>nova osnova glede na tekst</t>
  </si>
  <si>
    <t>Podatki za obračun</t>
  </si>
  <si>
    <t>minimalna osnova za prispevke</t>
  </si>
  <si>
    <t>dodatek na težje pogoje dela 2 %</t>
  </si>
  <si>
    <t>bruto dohodek</t>
  </si>
  <si>
    <t>- splošna olajšava (SO)</t>
  </si>
  <si>
    <t>- olajšave za vzdrževane družinske člane (VDČ)</t>
  </si>
  <si>
    <t>akontacija dohodnine (AD) 16%</t>
  </si>
  <si>
    <t>16,10% prispevkov v breme delodajalcev</t>
  </si>
  <si>
    <t>Procenti</t>
  </si>
  <si>
    <t>Računanje</t>
  </si>
  <si>
    <t>razlika do minimalne osnove</t>
  </si>
  <si>
    <t>dodatni prispevki v breme delavca (DPDEL)</t>
  </si>
  <si>
    <t>22,10% prispevki v breme delavca</t>
  </si>
  <si>
    <t>mes. dohodninska lestvica</t>
  </si>
  <si>
    <t>xxxxxxxxxxxxxxxxxxxxxxxx</t>
  </si>
  <si>
    <t>xxxxxxx</t>
  </si>
  <si>
    <t>dodatni prispevki v breme delodajalca (DPDELO)</t>
  </si>
  <si>
    <t>xxxxxx</t>
  </si>
  <si>
    <t>število delovnih let</t>
  </si>
  <si>
    <t>2 DODATEK NA DELOVNO DOBO</t>
  </si>
  <si>
    <t>1+(2-(3*4))</t>
  </si>
  <si>
    <t>1 SPLOŠNA OLAJŠAVA DO 1.109,74</t>
  </si>
  <si>
    <t>1*2</t>
  </si>
  <si>
    <t>(3) 1-2</t>
  </si>
  <si>
    <t>3*O,3796</t>
  </si>
  <si>
    <t>3*0,0024</t>
  </si>
  <si>
    <t>4 DOHODNINSKA LESTVICA 2020</t>
  </si>
  <si>
    <t>3 DODATNI PRISPEVKI V BREME DELODAJALCA IN DELAVCA</t>
  </si>
  <si>
    <t>5 OSEBNA OLAJŠAVE, POSEBNA OSEBNA OLAJŠAVA, POSEBNA OLAJŠAVA</t>
  </si>
  <si>
    <r>
      <t>(</t>
    </r>
    <r>
      <rPr>
        <b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) 2*0,04</t>
    </r>
  </si>
  <si>
    <r>
      <t>(</t>
    </r>
    <r>
      <rPr>
        <b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) 2*0,02</t>
    </r>
  </si>
  <si>
    <t>Osnovni bruto, osnovna plača</t>
  </si>
  <si>
    <t>Bruto plača</t>
  </si>
  <si>
    <r>
      <t>(</t>
    </r>
    <r>
      <rPr>
        <b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) 2+3+4</t>
    </r>
  </si>
  <si>
    <r>
      <t xml:space="preserve">(6) </t>
    </r>
    <r>
      <rPr>
        <sz val="11"/>
        <color rgb="FFFF0000"/>
        <rFont val="Calibri"/>
        <family val="2"/>
        <charset val="238"/>
        <scheme val="minor"/>
      </rPr>
      <t>(5*0,221)+DPDEL</t>
    </r>
  </si>
  <si>
    <r>
      <t xml:space="preserve">(9) </t>
    </r>
    <r>
      <rPr>
        <sz val="11"/>
        <color theme="1"/>
        <rFont val="Calibri"/>
        <family val="2"/>
        <charset val="238"/>
        <scheme val="minor"/>
      </rPr>
      <t>5-7-8</t>
    </r>
  </si>
  <si>
    <r>
      <rPr>
        <b/>
        <sz val="11"/>
        <color theme="1"/>
        <rFont val="Calibri"/>
        <family val="2"/>
        <charset val="238"/>
        <scheme val="minor"/>
      </rPr>
      <t>11</t>
    </r>
    <r>
      <rPr>
        <sz val="11"/>
        <color theme="1"/>
        <rFont val="Calibri"/>
        <family val="2"/>
        <charset val="238"/>
        <scheme val="minor"/>
      </rPr>
      <t xml:space="preserve"> (5-6-10)</t>
    </r>
  </si>
  <si>
    <r>
      <t xml:space="preserve">12 </t>
    </r>
    <r>
      <rPr>
        <sz val="11"/>
        <color rgb="FF00B050"/>
        <rFont val="Calibri"/>
        <family val="2"/>
        <charset val="238"/>
        <scheme val="minor"/>
      </rPr>
      <t>(5*0,221)+DPDELO</t>
    </r>
  </si>
  <si>
    <r>
      <t xml:space="preserve">13 </t>
    </r>
    <r>
      <rPr>
        <sz val="11"/>
        <color theme="1"/>
        <rFont val="Calibri"/>
        <family val="2"/>
        <charset val="238"/>
        <scheme val="minor"/>
      </rPr>
      <t>(5+12)</t>
    </r>
  </si>
  <si>
    <t>Povečanje zaradi delovne dobe</t>
  </si>
  <si>
    <t>dodatek na delovno dobo</t>
  </si>
  <si>
    <t>xxxxxxxxxxxxxxx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</si>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</sst>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_-* #,##0.00000\ _€_-;\-* #,##0.00000\ _€_-;_-* &quot;-&quot;??\ _€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C00FF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quotePrefix="1"/>
    <xf numFmtId="2" fontId="0" fillId="0" borderId="0" xfId="0" applyNumberFormat="1"/>
    <xf numFmtId="0" fontId="0" fillId="2" borderId="0" xfId="0" applyFill="1"/>
    <xf numFmtId="0" fontId="2" fillId="0" borderId="0" xfId="0" applyFont="1"/>
    <xf numFmtId="0" fontId="0" fillId="3" borderId="0" xfId="0" applyFill="1"/>
    <xf numFmtId="164" fontId="0" fillId="0" borderId="0" xfId="1" applyFont="1"/>
    <xf numFmtId="0" fontId="0" fillId="4" borderId="0" xfId="0" applyFill="1"/>
    <xf numFmtId="2" fontId="0" fillId="4" borderId="0" xfId="0" applyNumberFormat="1" applyFill="1"/>
    <xf numFmtId="8" fontId="0" fillId="0" borderId="0" xfId="0" applyNumberFormat="1"/>
    <xf numFmtId="8" fontId="0" fillId="4" borderId="0" xfId="0" applyNumberFormat="1" applyFill="1"/>
    <xf numFmtId="0" fontId="0" fillId="5" borderId="0" xfId="0" applyFill="1"/>
    <xf numFmtId="2" fontId="0" fillId="5" borderId="0" xfId="0" applyNumberFormat="1" applyFill="1"/>
    <xf numFmtId="0" fontId="0" fillId="8" borderId="0" xfId="0" applyFill="1"/>
    <xf numFmtId="8" fontId="0" fillId="6" borderId="0" xfId="0" applyNumberFormat="1" applyFill="1"/>
    <xf numFmtId="8" fontId="0" fillId="3" borderId="0" xfId="0" applyNumberFormat="1" applyFill="1"/>
    <xf numFmtId="8" fontId="0" fillId="5" borderId="0" xfId="0" applyNumberFormat="1" applyFill="1"/>
    <xf numFmtId="0" fontId="0" fillId="7" borderId="0" xfId="0" applyFill="1" applyBorder="1"/>
    <xf numFmtId="0" fontId="0" fillId="0" borderId="0" xfId="0" applyBorder="1"/>
    <xf numFmtId="0" fontId="0" fillId="2" borderId="0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8" fontId="0" fillId="7" borderId="4" xfId="0" applyNumberFormat="1" applyFill="1" applyBorder="1"/>
    <xf numFmtId="0" fontId="0" fillId="7" borderId="5" xfId="0" applyFill="1" applyBorder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10" fontId="2" fillId="0" borderId="4" xfId="0" applyNumberFormat="1" applyFont="1" applyBorder="1"/>
    <xf numFmtId="39" fontId="3" fillId="0" borderId="4" xfId="1" applyNumberFormat="1" applyFont="1" applyBorder="1"/>
    <xf numFmtId="2" fontId="3" fillId="0" borderId="6" xfId="0" applyNumberFormat="1" applyFont="1" applyBorder="1"/>
    <xf numFmtId="0" fontId="0" fillId="0" borderId="7" xfId="0" applyBorder="1"/>
    <xf numFmtId="0" fontId="0" fillId="0" borderId="8" xfId="0" applyBorder="1"/>
    <xf numFmtId="2" fontId="3" fillId="9" borderId="6" xfId="0" applyNumberFormat="1" applyFont="1" applyFill="1" applyBorder="1"/>
    <xf numFmtId="8" fontId="3" fillId="8" borderId="0" xfId="0" applyNumberFormat="1" applyFont="1" applyFill="1"/>
    <xf numFmtId="2" fontId="0" fillId="0" borderId="0" xfId="0" applyNumberFormat="1" applyFill="1"/>
    <xf numFmtId="0" fontId="0" fillId="0" borderId="0" xfId="0" applyFill="1"/>
    <xf numFmtId="10" fontId="5" fillId="0" borderId="0" xfId="0" applyNumberFormat="1" applyFont="1" applyBorder="1"/>
    <xf numFmtId="10" fontId="5" fillId="0" borderId="0" xfId="0" applyNumberFormat="1" applyFont="1"/>
    <xf numFmtId="0" fontId="3" fillId="2" borderId="0" xfId="0" applyFont="1" applyFill="1"/>
    <xf numFmtId="0" fontId="0" fillId="5" borderId="9" xfId="0" applyFill="1" applyBorder="1"/>
    <xf numFmtId="0" fontId="0" fillId="0" borderId="9" xfId="0" applyBorder="1"/>
    <xf numFmtId="0" fontId="0" fillId="0" borderId="9" xfId="0" quotePrefix="1" applyBorder="1"/>
    <xf numFmtId="0" fontId="0" fillId="4" borderId="9" xfId="0" applyFill="1" applyBorder="1"/>
    <xf numFmtId="4" fontId="0" fillId="0" borderId="9" xfId="0" applyNumberFormat="1" applyBorder="1"/>
    <xf numFmtId="2" fontId="0" fillId="0" borderId="9" xfId="0" applyNumberFormat="1" applyBorder="1"/>
    <xf numFmtId="0" fontId="0" fillId="0" borderId="9" xfId="0" quotePrefix="1" applyBorder="1" applyAlignment="1">
      <alignment horizontal="right"/>
    </xf>
    <xf numFmtId="0" fontId="0" fillId="0" borderId="9" xfId="0" applyBorder="1" applyAlignment="1">
      <alignment horizontal="right"/>
    </xf>
    <xf numFmtId="9" fontId="0" fillId="0" borderId="9" xfId="0" applyNumberFormat="1" applyBorder="1"/>
    <xf numFmtId="0" fontId="4" fillId="3" borderId="9" xfId="0" applyFont="1" applyFill="1" applyBorder="1"/>
    <xf numFmtId="0" fontId="3" fillId="0" borderId="9" xfId="0" applyFont="1" applyBorder="1"/>
    <xf numFmtId="0" fontId="7" fillId="0" borderId="0" xfId="0" applyFont="1"/>
    <xf numFmtId="10" fontId="0" fillId="0" borderId="9" xfId="0" applyNumberFormat="1" applyBorder="1"/>
    <xf numFmtId="0" fontId="3" fillId="0" borderId="9" xfId="0" quotePrefix="1" applyFon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1" xfId="0" applyBorder="1" applyAlignment="1"/>
    <xf numFmtId="0" fontId="0" fillId="0" borderId="10" xfId="0" applyBorder="1" applyAlignment="1"/>
    <xf numFmtId="0" fontId="10" fillId="0" borderId="9" xfId="0" applyFont="1" applyBorder="1"/>
    <xf numFmtId="0" fontId="11" fillId="0" borderId="9" xfId="0" applyFont="1" applyBorder="1"/>
    <xf numFmtId="10" fontId="2" fillId="0" borderId="9" xfId="0" applyNumberFormat="1" applyFont="1" applyBorder="1"/>
    <xf numFmtId="10" fontId="2" fillId="0" borderId="0" xfId="0" applyNumberFormat="1" applyFont="1"/>
    <xf numFmtId="10" fontId="5" fillId="0" borderId="9" xfId="0" applyNumberFormat="1" applyFont="1" applyBorder="1"/>
    <xf numFmtId="0" fontId="10" fillId="0" borderId="9" xfId="0" quotePrefix="1" applyFont="1" applyBorder="1" applyAlignment="1">
      <alignment horizontal="right"/>
    </xf>
    <xf numFmtId="0" fontId="11" fillId="0" borderId="9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164" fontId="0" fillId="5" borderId="9" xfId="1" applyFont="1" applyFill="1" applyBorder="1"/>
    <xf numFmtId="164" fontId="0" fillId="0" borderId="9" xfId="1" applyFont="1" applyBorder="1"/>
    <xf numFmtId="164" fontId="0" fillId="4" borderId="9" xfId="1" applyFont="1" applyFill="1" applyBorder="1"/>
    <xf numFmtId="164" fontId="0" fillId="0" borderId="10" xfId="1" applyFont="1" applyBorder="1"/>
    <xf numFmtId="165" fontId="0" fillId="0" borderId="10" xfId="1" applyNumberFormat="1" applyFont="1" applyBorder="1"/>
    <xf numFmtId="0" fontId="0" fillId="0" borderId="12" xfId="0" applyBorder="1" applyAlignment="1"/>
    <xf numFmtId="16" fontId="0" fillId="0" borderId="9" xfId="0" quotePrefix="1" applyNumberFormat="1" applyBorder="1" applyAlignment="1">
      <alignment horizontal="right"/>
    </xf>
    <xf numFmtId="0" fontId="6" fillId="0" borderId="9" xfId="0" quotePrefix="1" applyFont="1" applyBorder="1"/>
    <xf numFmtId="0" fontId="0" fillId="0" borderId="10" xfId="0" applyBorder="1" applyAlignment="1">
      <alignment horizontal="right"/>
    </xf>
    <xf numFmtId="0" fontId="0" fillId="0" borderId="0" xfId="0" applyBorder="1" applyAlignment="1">
      <alignment horizontal="right"/>
    </xf>
    <xf numFmtId="9" fontId="0" fillId="0" borderId="0" xfId="0" applyNumberFormat="1" applyBorder="1"/>
    <xf numFmtId="0" fontId="0" fillId="0" borderId="9" xfId="0" applyFont="1" applyBorder="1"/>
    <xf numFmtId="10" fontId="0" fillId="0" borderId="9" xfId="2" applyNumberFormat="1" applyFont="1" applyBorder="1"/>
    <xf numFmtId="164" fontId="0" fillId="3" borderId="10" xfId="1" applyNumberFormat="1" applyFont="1" applyFill="1" applyBorder="1"/>
    <xf numFmtId="164" fontId="0" fillId="0" borderId="10" xfId="1" applyNumberFormat="1" applyFont="1" applyBorder="1"/>
    <xf numFmtId="164" fontId="0" fillId="0" borderId="9" xfId="0" applyNumberFormat="1" applyBorder="1"/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FF9900"/>
      <color rgb="FFCC00FF"/>
      <color rgb="FFDF89C2"/>
      <color rgb="FFEE7A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51954</xdr:colOff>
      <xdr:row>0</xdr:row>
      <xdr:rowOff>60615</xdr:rowOff>
    </xdr:from>
    <xdr:to>
      <xdr:col>7</xdr:col>
      <xdr:colOff>606136</xdr:colOff>
      <xdr:row>6</xdr:row>
      <xdr:rowOff>77932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9D826E99-285C-4D49-9F95-B79B3224717A}"/>
            </a:ext>
          </a:extLst>
        </xdr:cNvPr>
        <xdr:cNvSpPr txBox="1"/>
      </xdr:nvSpPr>
      <xdr:spPr>
        <a:xfrm>
          <a:off x="51954" y="60615"/>
          <a:ext cx="8012257" cy="11603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1. naloga:</a:t>
          </a:r>
          <a:r>
            <a:rPr lang="sl-SI" sz="1100" b="1" baseline="0"/>
            <a:t> </a:t>
          </a:r>
          <a:r>
            <a:rPr lang="sl-SI" sz="1100" b="1"/>
            <a:t>Na osnovi podatkov izdelajte obračun plače z dodatki ob upoštevanju</a:t>
          </a:r>
          <a:r>
            <a:rPr lang="sl-SI" sz="1100" b="1" baseline="0"/>
            <a:t> dodatne splošne olajšave</a:t>
          </a:r>
          <a:endParaRPr lang="sl-SI" sz="1100" b="1"/>
        </a:p>
        <a:p>
          <a:r>
            <a:rPr lang="sl-SI" sz="1100"/>
            <a:t>Delavec je prejel za mesec september 2020 bruto plačo 950,55 €, ki je višja od</a:t>
          </a:r>
          <a:r>
            <a:rPr lang="sl-SI" sz="1100" baseline="0"/>
            <a:t> minimalne plače</a:t>
          </a:r>
          <a:r>
            <a:rPr lang="sl-SI" sz="1100"/>
            <a:t>. Le-ta znaša za september 2020 940,58.</a:t>
          </a:r>
        </a:p>
        <a:p>
          <a:r>
            <a:rPr lang="sl-SI" sz="1100"/>
            <a:t>Minimalna osnova</a:t>
          </a:r>
          <a:r>
            <a:rPr lang="sl-SI" sz="1100" baseline="0"/>
            <a:t> za prispevke za september 2020 znaša 1.017,23.</a:t>
          </a:r>
          <a:r>
            <a:rPr lang="sl-SI" sz="1100"/>
            <a:t> </a:t>
          </a:r>
        </a:p>
        <a:p>
          <a:r>
            <a:rPr lang="sl-SI" sz="1100"/>
            <a:t>Delovna doba delavca je bila 3 leta. </a:t>
          </a:r>
        </a:p>
        <a:p>
          <a:r>
            <a:rPr lang="sl-SI" sz="1100"/>
            <a:t>Delavcu pripada 2 % dodatek za težje delovne pogoje. </a:t>
          </a:r>
        </a:p>
        <a:p>
          <a:r>
            <a:rPr lang="sl-SI" sz="1100"/>
            <a:t>Ima 2 otroka kot vzdrževanega</a:t>
          </a:r>
          <a:r>
            <a:rPr lang="sl-SI" sz="1100" baseline="0"/>
            <a:t> družinskega člana (</a:t>
          </a:r>
          <a:r>
            <a:rPr lang="sl-SI" sz="1100"/>
            <a:t>VDČ). </a:t>
          </a:r>
        </a:p>
      </xdr:txBody>
    </xdr:sp>
    <xdr:clientData/>
  </xdr:twoCellAnchor>
  <xdr:twoCellAnchor editAs="oneCell">
    <xdr:from>
      <xdr:col>12</xdr:col>
      <xdr:colOff>467591</xdr:colOff>
      <xdr:row>0</xdr:row>
      <xdr:rowOff>0</xdr:rowOff>
    </xdr:from>
    <xdr:to>
      <xdr:col>18</xdr:col>
      <xdr:colOff>225137</xdr:colOff>
      <xdr:row>6</xdr:row>
      <xdr:rowOff>43296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B105ED4-A478-4BEF-98E1-B838771CD194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97566" y="0"/>
          <a:ext cx="3415146" cy="1186296"/>
        </a:xfrm>
        <a:prstGeom prst="rect">
          <a:avLst/>
        </a:prstGeom>
      </xdr:spPr>
    </xdr:pic>
    <xdr:clientData/>
  </xdr:twoCellAnchor>
  <xdr:twoCellAnchor editAs="oneCell">
    <xdr:from>
      <xdr:col>8</xdr:col>
      <xdr:colOff>588818</xdr:colOff>
      <xdr:row>19</xdr:row>
      <xdr:rowOff>173181</xdr:rowOff>
    </xdr:from>
    <xdr:to>
      <xdr:col>17</xdr:col>
      <xdr:colOff>158288</xdr:colOff>
      <xdr:row>26</xdr:row>
      <xdr:rowOff>142701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F494896F-A652-42A1-8C05-811E8FB72D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6493" y="3792681"/>
          <a:ext cx="5779770" cy="1303020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571499</xdr:colOff>
      <xdr:row>28</xdr:row>
      <xdr:rowOff>34637</xdr:rowOff>
    </xdr:from>
    <xdr:to>
      <xdr:col>17</xdr:col>
      <xdr:colOff>140969</xdr:colOff>
      <xdr:row>47</xdr:row>
      <xdr:rowOff>175607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C360602-A462-4EEB-BD53-58A7A1BDB136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39174" y="5368637"/>
          <a:ext cx="5779770" cy="3760470"/>
        </a:xfrm>
        <a:prstGeom prst="rect">
          <a:avLst/>
        </a:prstGeom>
      </xdr:spPr>
    </xdr:pic>
    <xdr:clientData/>
  </xdr:twoCellAnchor>
  <xdr:twoCellAnchor editAs="oneCell">
    <xdr:from>
      <xdr:col>9</xdr:col>
      <xdr:colOff>164523</xdr:colOff>
      <xdr:row>47</xdr:row>
      <xdr:rowOff>181841</xdr:rowOff>
    </xdr:from>
    <xdr:to>
      <xdr:col>17</xdr:col>
      <xdr:colOff>340129</xdr:colOff>
      <xdr:row>54</xdr:row>
      <xdr:rowOff>80241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DC3A009-3BE7-4056-BC97-38F76B9002EC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1798" y="9135341"/>
          <a:ext cx="5776306" cy="123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51954</xdr:colOff>
      <xdr:row>0</xdr:row>
      <xdr:rowOff>60615</xdr:rowOff>
    </xdr:from>
    <xdr:to>
      <xdr:col>7</xdr:col>
      <xdr:colOff>606136</xdr:colOff>
      <xdr:row>6</xdr:row>
      <xdr:rowOff>77932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74C42BE7-6AFA-42E1-8257-475D1BFEA3D2}"/>
            </a:ext>
          </a:extLst>
        </xdr:cNvPr>
        <xdr:cNvSpPr txBox="1"/>
      </xdr:nvSpPr>
      <xdr:spPr>
        <a:xfrm>
          <a:off x="51954" y="60615"/>
          <a:ext cx="8012257" cy="1160317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/>
            <a:t>1. naloga:</a:t>
          </a:r>
          <a:r>
            <a:rPr lang="sl-SI" sz="1100" b="1" baseline="0"/>
            <a:t> </a:t>
          </a:r>
          <a:r>
            <a:rPr lang="sl-SI" sz="1100" b="1"/>
            <a:t>Na osnovi podatkov izdelajte obračun plače z dodatki ob upoštevanju</a:t>
          </a:r>
          <a:r>
            <a:rPr lang="sl-SI" sz="1100" b="1" baseline="0"/>
            <a:t> dodatne splošne olajšave</a:t>
          </a:r>
          <a:endParaRPr lang="sl-SI" sz="1100" b="1"/>
        </a:p>
        <a:p>
          <a:r>
            <a:rPr lang="sl-SI" sz="1100"/>
            <a:t>Delavec je prejel za mesec september 2020 bruto plačo 950,55 €, ki je višja od</a:t>
          </a:r>
          <a:r>
            <a:rPr lang="sl-SI" sz="1100" baseline="0"/>
            <a:t> minimalne plače</a:t>
          </a:r>
          <a:r>
            <a:rPr lang="sl-SI" sz="1100"/>
            <a:t>. Le-ta znaša za september 2020 940,58.</a:t>
          </a:r>
        </a:p>
        <a:p>
          <a:r>
            <a:rPr lang="sl-SI" sz="1100"/>
            <a:t>Minimalna osnova</a:t>
          </a:r>
          <a:r>
            <a:rPr lang="sl-SI" sz="1100" baseline="0"/>
            <a:t> za prispevke za september 2020 znaša 1.017,23.</a:t>
          </a:r>
          <a:r>
            <a:rPr lang="sl-SI" sz="1100"/>
            <a:t> </a:t>
          </a:r>
        </a:p>
        <a:p>
          <a:r>
            <a:rPr lang="sl-SI" sz="1100"/>
            <a:t>Delovna doba delavca je bila 3 leta. </a:t>
          </a:r>
        </a:p>
        <a:p>
          <a:r>
            <a:rPr lang="sl-SI" sz="1100"/>
            <a:t>Delavcu pripada 2 % dodatek za težje delovne pogoje. </a:t>
          </a:r>
        </a:p>
        <a:p>
          <a:r>
            <a:rPr lang="sl-SI" sz="1100"/>
            <a:t>Ima 2 otroka kot vzdrževanega</a:t>
          </a:r>
          <a:r>
            <a:rPr lang="sl-SI" sz="1100" baseline="0"/>
            <a:t> družinskega člana (</a:t>
          </a:r>
          <a:r>
            <a:rPr lang="sl-SI" sz="1100"/>
            <a:t>VDČ). </a:t>
          </a:r>
        </a:p>
      </xdr:txBody>
    </xdr:sp>
    <xdr:clientData/>
  </xdr:twoCellAnchor>
  <xdr:twoCellAnchor editAs="oneCell">
    <xdr:from>
      <xdr:col>12</xdr:col>
      <xdr:colOff>467591</xdr:colOff>
      <xdr:row>0</xdr:row>
      <xdr:rowOff>0</xdr:rowOff>
    </xdr:from>
    <xdr:to>
      <xdr:col>18</xdr:col>
      <xdr:colOff>225137</xdr:colOff>
      <xdr:row>6</xdr:row>
      <xdr:rowOff>43296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82E4047D-4ED8-4452-9990-451A238AD7E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9773" y="0"/>
          <a:ext cx="3394364" cy="1186296"/>
        </a:xfrm>
        <a:prstGeom prst="rect">
          <a:avLst/>
        </a:prstGeom>
      </xdr:spPr>
    </xdr:pic>
    <xdr:clientData/>
  </xdr:twoCellAnchor>
  <xdr:twoCellAnchor editAs="oneCell">
    <xdr:from>
      <xdr:col>8</xdr:col>
      <xdr:colOff>588818</xdr:colOff>
      <xdr:row>19</xdr:row>
      <xdr:rowOff>173181</xdr:rowOff>
    </xdr:from>
    <xdr:to>
      <xdr:col>17</xdr:col>
      <xdr:colOff>158288</xdr:colOff>
      <xdr:row>26</xdr:row>
      <xdr:rowOff>142701</xdr:rowOff>
    </xdr:to>
    <xdr:pic>
      <xdr:nvPicPr>
        <xdr:cNvPr id="19" name="Slika 18">
          <a:extLst>
            <a:ext uri="{FF2B5EF4-FFF2-40B4-BE49-F238E27FC236}">
              <a16:creationId xmlns:a16="http://schemas.microsoft.com/office/drawing/2014/main" id="{966FD230-7DC5-4AE9-98EE-46EAD4671D98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50432" y="3792681"/>
          <a:ext cx="5760720" cy="1303020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571499</xdr:colOff>
      <xdr:row>28</xdr:row>
      <xdr:rowOff>34637</xdr:rowOff>
    </xdr:from>
    <xdr:to>
      <xdr:col>17</xdr:col>
      <xdr:colOff>140969</xdr:colOff>
      <xdr:row>47</xdr:row>
      <xdr:rowOff>175607</xdr:rowOff>
    </xdr:to>
    <xdr:pic>
      <xdr:nvPicPr>
        <xdr:cNvPr id="21" name="Slika 20">
          <a:extLst>
            <a:ext uri="{FF2B5EF4-FFF2-40B4-BE49-F238E27FC236}">
              <a16:creationId xmlns:a16="http://schemas.microsoft.com/office/drawing/2014/main" id="{B25F4EA0-803C-461F-90F7-02C7B7332D4E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33113" y="5368637"/>
          <a:ext cx="5760720" cy="3760470"/>
        </a:xfrm>
        <a:prstGeom prst="rect">
          <a:avLst/>
        </a:prstGeom>
      </xdr:spPr>
    </xdr:pic>
    <xdr:clientData/>
  </xdr:twoCellAnchor>
  <xdr:twoCellAnchor editAs="oneCell">
    <xdr:from>
      <xdr:col>9</xdr:col>
      <xdr:colOff>164523</xdr:colOff>
      <xdr:row>47</xdr:row>
      <xdr:rowOff>181841</xdr:rowOff>
    </xdr:from>
    <xdr:to>
      <xdr:col>17</xdr:col>
      <xdr:colOff>340129</xdr:colOff>
      <xdr:row>54</xdr:row>
      <xdr:rowOff>80241</xdr:rowOff>
    </xdr:to>
    <xdr:pic>
      <xdr:nvPicPr>
        <xdr:cNvPr id="22" name="Slika 21">
          <a:extLst>
            <a:ext uri="{FF2B5EF4-FFF2-40B4-BE49-F238E27FC236}">
              <a16:creationId xmlns:a16="http://schemas.microsoft.com/office/drawing/2014/main" id="{C46A7FE0-D9FF-4356-925F-B12A62B8B6C6}"/>
            </a:ext>
          </a:extLst>
        </xdr:cNvPr>
        <xdr:cNvPicPr/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32273" y="9135341"/>
          <a:ext cx="5760720" cy="12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5"/>
  <sheetViews>
    <sheetView zoomScale="110" zoomScaleNormal="110" workbookViewId="0">
      <selection activeCell="A2" sqref="A2"/>
    </sheetView>
  </sheetViews>
  <sheetFormatPr defaultRowHeight="15" x14ac:dyDescent="0.25"/>
  <cols>
    <col min="1" max="1" width="9.7109375" customWidth="1"/>
    <col min="2" max="2" width="20" customWidth="1"/>
    <col min="3" max="3" width="14.7109375" bestFit="1" customWidth="1"/>
    <col min="7" max="7" width="9.5703125" bestFit="1" customWidth="1"/>
    <col min="9" max="9" width="13.140625" customWidth="1"/>
  </cols>
  <sheetData>
    <row r="1" spans="1:7" x14ac:dyDescent="0.25">
      <c r="A1" t="s">
        <v>47</v>
      </c>
      <c r="D1" s="2"/>
    </row>
    <row r="2" spans="1:7" x14ac:dyDescent="0.25">
      <c r="A2" t="s">
        <v>41</v>
      </c>
      <c r="G2" s="13"/>
    </row>
    <row r="3" spans="1:7" x14ac:dyDescent="0.25">
      <c r="A3" t="s">
        <v>42</v>
      </c>
      <c r="G3" s="13"/>
    </row>
    <row r="4" spans="1:7" x14ac:dyDescent="0.25">
      <c r="A4" t="s">
        <v>44</v>
      </c>
      <c r="G4" s="34"/>
    </row>
    <row r="5" spans="1:7" x14ac:dyDescent="0.25">
      <c r="A5" t="s">
        <v>45</v>
      </c>
    </row>
    <row r="6" spans="1:7" x14ac:dyDescent="0.25">
      <c r="A6" t="s">
        <v>46</v>
      </c>
    </row>
    <row r="7" spans="1:7" x14ac:dyDescent="0.25">
      <c r="A7" t="s">
        <v>43</v>
      </c>
    </row>
    <row r="9" spans="1:7" x14ac:dyDescent="0.25">
      <c r="A9" s="5" t="s">
        <v>39</v>
      </c>
    </row>
    <row r="10" spans="1:7" x14ac:dyDescent="0.25">
      <c r="A10" t="s">
        <v>5</v>
      </c>
    </row>
    <row r="11" spans="1:7" x14ac:dyDescent="0.25">
      <c r="A11" t="s">
        <v>6</v>
      </c>
    </row>
    <row r="12" spans="1:7" x14ac:dyDescent="0.25">
      <c r="A12" t="s">
        <v>40</v>
      </c>
    </row>
    <row r="13" spans="1:7" x14ac:dyDescent="0.25">
      <c r="A13" s="4" t="s">
        <v>29</v>
      </c>
    </row>
    <row r="14" spans="1:7" x14ac:dyDescent="0.25">
      <c r="A14" s="11" t="s">
        <v>7</v>
      </c>
      <c r="B14" s="11"/>
    </row>
    <row r="15" spans="1:7" x14ac:dyDescent="0.25">
      <c r="A15" t="s">
        <v>8</v>
      </c>
      <c r="C15" s="14">
        <v>940.58</v>
      </c>
    </row>
    <row r="16" spans="1:7" x14ac:dyDescent="0.25">
      <c r="A16" t="s">
        <v>9</v>
      </c>
      <c r="C16" s="14">
        <v>1017.23</v>
      </c>
      <c r="D16" t="s">
        <v>48</v>
      </c>
    </row>
    <row r="17" spans="1:11" x14ac:dyDescent="0.25">
      <c r="C17" s="9"/>
    </row>
    <row r="18" spans="1:11" x14ac:dyDescent="0.25">
      <c r="A18" t="s">
        <v>32</v>
      </c>
      <c r="C18" s="9">
        <v>880</v>
      </c>
    </row>
    <row r="19" spans="1:11" x14ac:dyDescent="0.25">
      <c r="A19" t="s">
        <v>10</v>
      </c>
      <c r="C19" s="9">
        <f>+C15-C18</f>
        <v>60.580000000000041</v>
      </c>
    </row>
    <row r="20" spans="1:11" x14ac:dyDescent="0.25">
      <c r="A20" s="11" t="s">
        <v>20</v>
      </c>
      <c r="B20" s="11"/>
      <c r="C20" s="16">
        <f>+C18+C19</f>
        <v>940.58</v>
      </c>
    </row>
    <row r="21" spans="1:11" x14ac:dyDescent="0.25">
      <c r="A21" t="s">
        <v>21</v>
      </c>
      <c r="C21" s="9">
        <f>+C18*0.04</f>
        <v>35.200000000000003</v>
      </c>
      <c r="D21" t="s">
        <v>19</v>
      </c>
      <c r="G21" s="6"/>
    </row>
    <row r="22" spans="1:11" ht="15.75" thickBot="1" x14ac:dyDescent="0.3">
      <c r="A22" t="s">
        <v>22</v>
      </c>
      <c r="C22" s="9">
        <f>+C18*0.02</f>
        <v>17.600000000000001</v>
      </c>
      <c r="D22" t="s">
        <v>19</v>
      </c>
    </row>
    <row r="23" spans="1:11" x14ac:dyDescent="0.25">
      <c r="A23" s="5" t="s">
        <v>33</v>
      </c>
      <c r="B23" s="5"/>
      <c r="C23" s="15">
        <f>+C20+C21+C22</f>
        <v>993.38000000000011</v>
      </c>
      <c r="E23" s="4"/>
      <c r="G23" s="20" t="s">
        <v>34</v>
      </c>
      <c r="H23" s="21"/>
      <c r="I23" s="21"/>
      <c r="J23" s="21"/>
      <c r="K23" s="22"/>
    </row>
    <row r="24" spans="1:11" x14ac:dyDescent="0.25">
      <c r="A24" s="1" t="s">
        <v>11</v>
      </c>
      <c r="C24" s="2">
        <f>+(C23*22.1/100)+G32</f>
        <v>219.59422000000004</v>
      </c>
      <c r="D24" s="4" t="s">
        <v>37</v>
      </c>
      <c r="G24" s="23">
        <f>1017.23-C23</f>
        <v>23.849999999999909</v>
      </c>
      <c r="H24" s="17" t="s">
        <v>35</v>
      </c>
      <c r="I24" s="17"/>
      <c r="J24" s="17"/>
      <c r="K24" s="24"/>
    </row>
    <row r="25" spans="1:11" x14ac:dyDescent="0.25">
      <c r="A25" s="1" t="s">
        <v>1</v>
      </c>
      <c r="C25">
        <v>455.07</v>
      </c>
      <c r="D25" s="3" t="s">
        <v>12</v>
      </c>
      <c r="E25" s="3"/>
      <c r="F25" s="3"/>
      <c r="G25" s="25"/>
      <c r="H25" s="18"/>
      <c r="I25" s="18"/>
      <c r="J25" s="18"/>
      <c r="K25" s="26"/>
    </row>
    <row r="26" spans="1:11" x14ac:dyDescent="0.25">
      <c r="A26" s="1" t="s">
        <v>0</v>
      </c>
      <c r="C26">
        <v>203.08</v>
      </c>
      <c r="D26" t="s">
        <v>13</v>
      </c>
      <c r="G26" s="27" t="s">
        <v>36</v>
      </c>
      <c r="H26" s="19"/>
      <c r="I26" s="19"/>
      <c r="J26" s="18"/>
      <c r="K26" s="26"/>
    </row>
    <row r="27" spans="1:11" x14ac:dyDescent="0.25">
      <c r="A27" t="s">
        <v>3</v>
      </c>
      <c r="C27" s="2">
        <f>+C23-C24-C25-C26</f>
        <v>115.63578000000004</v>
      </c>
      <c r="E27">
        <f>291.67+(1558.37-(1.40427*993.38))</f>
        <v>455.06626739999996</v>
      </c>
      <c r="G27" s="28">
        <v>0.37959999999999999</v>
      </c>
      <c r="H27" s="18"/>
      <c r="I27" s="18"/>
      <c r="J27" s="18"/>
      <c r="K27" s="26"/>
    </row>
    <row r="28" spans="1:11" x14ac:dyDescent="0.25">
      <c r="A28" t="s">
        <v>15</v>
      </c>
      <c r="C28" s="2">
        <f>+C27*0.16</f>
        <v>18.501724800000005</v>
      </c>
      <c r="G28" s="29">
        <f>23.85*37.96/100</f>
        <v>9.0534600000000012</v>
      </c>
      <c r="H28" s="18" t="s">
        <v>28</v>
      </c>
      <c r="I28" s="18"/>
      <c r="J28" s="18"/>
      <c r="K28" s="26"/>
    </row>
    <row r="29" spans="1:11" x14ac:dyDescent="0.25">
      <c r="A29" s="7" t="s">
        <v>2</v>
      </c>
      <c r="B29" s="7"/>
      <c r="C29" s="8">
        <f>+C23-C24-C28</f>
        <v>755.28405520000001</v>
      </c>
      <c r="D29" t="s">
        <v>17</v>
      </c>
      <c r="G29" s="25"/>
      <c r="H29" s="18"/>
      <c r="I29" s="18"/>
      <c r="J29" s="18"/>
      <c r="K29" s="26"/>
    </row>
    <row r="30" spans="1:11" x14ac:dyDescent="0.25">
      <c r="A30" s="1" t="s">
        <v>16</v>
      </c>
      <c r="C30" s="2">
        <f>(+C23*16.1/100)+G28</f>
        <v>168.98764000000003</v>
      </c>
      <c r="D30" s="4" t="s">
        <v>37</v>
      </c>
      <c r="G30" s="27" t="s">
        <v>26</v>
      </c>
      <c r="H30" s="19" t="s">
        <v>27</v>
      </c>
      <c r="I30" s="18"/>
      <c r="J30" s="18"/>
      <c r="K30" s="26"/>
    </row>
    <row r="31" spans="1:11" x14ac:dyDescent="0.25">
      <c r="A31" s="11" t="s">
        <v>4</v>
      </c>
      <c r="B31" s="11"/>
      <c r="C31" s="12">
        <f>+C23+C30</f>
        <v>1162.3676400000002</v>
      </c>
      <c r="G31" s="28">
        <v>2.3999999999999998E-3</v>
      </c>
      <c r="H31" s="18"/>
      <c r="I31" s="18"/>
      <c r="J31" s="18"/>
      <c r="K31" s="26"/>
    </row>
    <row r="32" spans="1:11" ht="15.75" thickBot="1" x14ac:dyDescent="0.3">
      <c r="G32" s="30">
        <f>23.85*0.24/100</f>
        <v>5.7239999999999999E-2</v>
      </c>
      <c r="H32" s="31" t="s">
        <v>28</v>
      </c>
      <c r="I32" s="31"/>
      <c r="J32" s="31"/>
      <c r="K32" s="32"/>
    </row>
    <row r="33" spans="1:9" x14ac:dyDescent="0.25">
      <c r="A33" s="4" t="s">
        <v>23</v>
      </c>
      <c r="B33" s="4"/>
    </row>
    <row r="35" spans="1:9" x14ac:dyDescent="0.25">
      <c r="A35" t="s">
        <v>18</v>
      </c>
      <c r="C35" s="9">
        <v>880</v>
      </c>
    </row>
    <row r="36" spans="1:9" ht="15.75" thickBot="1" x14ac:dyDescent="0.3">
      <c r="A36" t="s">
        <v>10</v>
      </c>
      <c r="C36" s="9">
        <f>+C15-C35</f>
        <v>60.580000000000041</v>
      </c>
      <c r="F36" s="36"/>
    </row>
    <row r="37" spans="1:9" x14ac:dyDescent="0.25">
      <c r="A37" s="11" t="s">
        <v>20</v>
      </c>
      <c r="B37" s="11"/>
      <c r="C37" s="9">
        <f>+C35+C36</f>
        <v>940.58</v>
      </c>
      <c r="E37" s="20" t="s">
        <v>34</v>
      </c>
      <c r="F37" s="21"/>
      <c r="G37" s="21"/>
      <c r="H37" s="21"/>
      <c r="I37" s="22"/>
    </row>
    <row r="38" spans="1:9" x14ac:dyDescent="0.25">
      <c r="A38" t="s">
        <v>24</v>
      </c>
      <c r="C38" s="9">
        <v>0</v>
      </c>
      <c r="E38" s="23">
        <f>1017.23-940.58</f>
        <v>76.649999999999977</v>
      </c>
      <c r="F38" s="17" t="s">
        <v>38</v>
      </c>
      <c r="G38" s="17"/>
      <c r="H38" s="17"/>
      <c r="I38" s="24"/>
    </row>
    <row r="39" spans="1:9" x14ac:dyDescent="0.25">
      <c r="A39" t="s">
        <v>25</v>
      </c>
      <c r="C39" s="9">
        <v>0</v>
      </c>
      <c r="E39" s="25"/>
      <c r="F39" s="18"/>
      <c r="G39" s="18"/>
      <c r="H39" s="18"/>
      <c r="I39" s="26"/>
    </row>
    <row r="40" spans="1:9" x14ac:dyDescent="0.25">
      <c r="A40" s="7" t="s">
        <v>14</v>
      </c>
      <c r="B40" s="7"/>
      <c r="C40" s="10">
        <f>+C37+C38+C39</f>
        <v>940.58</v>
      </c>
      <c r="E40" s="27" t="s">
        <v>36</v>
      </c>
      <c r="F40" s="19"/>
      <c r="G40" s="19"/>
      <c r="H40" s="18"/>
      <c r="I40" s="26"/>
    </row>
    <row r="41" spans="1:9" x14ac:dyDescent="0.25">
      <c r="A41" s="1" t="s">
        <v>30</v>
      </c>
      <c r="C41" s="2">
        <f>+(940.58*22.1/100)+E46</f>
        <v>208.05214000000004</v>
      </c>
      <c r="D41" s="2"/>
      <c r="E41" s="28">
        <v>0.37959999999999999</v>
      </c>
      <c r="F41" s="18"/>
      <c r="G41" s="18"/>
      <c r="H41" s="18"/>
      <c r="I41" s="26"/>
    </row>
    <row r="42" spans="1:9" x14ac:dyDescent="0.25">
      <c r="A42" s="1" t="s">
        <v>1</v>
      </c>
      <c r="C42" s="9">
        <v>529.21</v>
      </c>
      <c r="D42">
        <f>291.67+(1558.37-(1.40427*940.58))</f>
        <v>529.21172339999998</v>
      </c>
      <c r="E42" s="29">
        <f>76.65*37.96/100</f>
        <v>29.096340000000005</v>
      </c>
      <c r="F42" s="18" t="s">
        <v>28</v>
      </c>
      <c r="G42" s="18"/>
      <c r="H42" s="18"/>
      <c r="I42" s="26"/>
    </row>
    <row r="43" spans="1:9" x14ac:dyDescent="0.25">
      <c r="A43" s="1" t="s">
        <v>0</v>
      </c>
      <c r="C43">
        <v>203.08</v>
      </c>
      <c r="D43" s="2"/>
      <c r="E43" s="25"/>
      <c r="F43" s="18"/>
      <c r="G43" s="18"/>
      <c r="H43" s="18"/>
      <c r="I43" s="26"/>
    </row>
    <row r="44" spans="1:9" x14ac:dyDescent="0.25">
      <c r="A44" t="s">
        <v>3</v>
      </c>
      <c r="C44" s="2">
        <f>+C40-C41-C42-C43</f>
        <v>0.23785999999998353</v>
      </c>
      <c r="D44" s="9"/>
      <c r="E44" s="27" t="s">
        <v>26</v>
      </c>
      <c r="F44" s="19" t="s">
        <v>27</v>
      </c>
      <c r="G44" s="18"/>
      <c r="H44" s="18"/>
      <c r="I44" s="26"/>
    </row>
    <row r="45" spans="1:9" x14ac:dyDescent="0.25">
      <c r="A45" t="s">
        <v>15</v>
      </c>
      <c r="C45" s="2">
        <f>+C44*0.16</f>
        <v>3.8057599999997367E-2</v>
      </c>
      <c r="E45" s="28">
        <v>2.3999999999999998E-3</v>
      </c>
      <c r="F45" s="18"/>
      <c r="G45" s="18"/>
      <c r="H45" s="18"/>
      <c r="I45" s="26"/>
    </row>
    <row r="46" spans="1:9" ht="15.75" thickBot="1" x14ac:dyDescent="0.3">
      <c r="A46" s="7" t="s">
        <v>2</v>
      </c>
      <c r="B46" s="7"/>
      <c r="C46" s="8">
        <f>C40-C41</f>
        <v>732.52786000000003</v>
      </c>
      <c r="E46" s="33">
        <f>76.65*0.24/100</f>
        <v>0.18396000000000001</v>
      </c>
      <c r="F46" s="31" t="s">
        <v>28</v>
      </c>
      <c r="G46" s="31"/>
      <c r="H46" s="31"/>
      <c r="I46" s="32"/>
    </row>
    <row r="47" spans="1:9" x14ac:dyDescent="0.25">
      <c r="A47" s="1" t="s">
        <v>31</v>
      </c>
      <c r="C47" s="2">
        <f>(C40*16.1/100)+E42</f>
        <v>180.52972000000003</v>
      </c>
      <c r="D47" s="2"/>
      <c r="G47" s="36"/>
    </row>
    <row r="48" spans="1:9" x14ac:dyDescent="0.25">
      <c r="A48" s="11" t="s">
        <v>4</v>
      </c>
      <c r="B48" s="11"/>
      <c r="C48" s="12">
        <f>+C40+C47</f>
        <v>1121.1097200000002</v>
      </c>
      <c r="E48" s="35"/>
    </row>
    <row r="49" spans="1:7" x14ac:dyDescent="0.25">
      <c r="A49" t="s">
        <v>47</v>
      </c>
      <c r="D49" s="2"/>
    </row>
    <row r="50" spans="1:7" x14ac:dyDescent="0.25">
      <c r="A50" t="s">
        <v>41</v>
      </c>
      <c r="G50" s="13"/>
    </row>
    <row r="51" spans="1:7" x14ac:dyDescent="0.25">
      <c r="A51" t="s">
        <v>42</v>
      </c>
      <c r="G51" s="13"/>
    </row>
    <row r="52" spans="1:7" x14ac:dyDescent="0.25">
      <c r="A52" t="s">
        <v>44</v>
      </c>
      <c r="G52" s="34"/>
    </row>
    <row r="53" spans="1:7" x14ac:dyDescent="0.25">
      <c r="A53" t="s">
        <v>45</v>
      </c>
    </row>
    <row r="54" spans="1:7" x14ac:dyDescent="0.25">
      <c r="A54" t="s">
        <v>46</v>
      </c>
    </row>
    <row r="55" spans="1:7" x14ac:dyDescent="0.25">
      <c r="A55" t="s">
        <v>43</v>
      </c>
    </row>
  </sheetData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2AE57-BD59-4E0E-A810-562E329A6D28}">
  <dimension ref="A1:Y33"/>
  <sheetViews>
    <sheetView tabSelected="1" zoomScale="110" zoomScaleNormal="110" workbookViewId="0">
      <selection activeCell="K18" sqref="K18"/>
    </sheetView>
  </sheetViews>
  <sheetFormatPr defaultRowHeight="15" x14ac:dyDescent="0.25"/>
  <cols>
    <col min="1" max="1" width="21" customWidth="1"/>
    <col min="2" max="3" width="7.5703125" customWidth="1"/>
    <col min="4" max="4" width="8" customWidth="1"/>
    <col min="5" max="5" width="43.85546875" customWidth="1"/>
    <col min="6" max="6" width="14.7109375" bestFit="1" customWidth="1"/>
    <col min="10" max="10" width="9.5703125" bestFit="1" customWidth="1"/>
    <col min="11" max="11" width="15.5703125" customWidth="1"/>
    <col min="12" max="12" width="13.140625" customWidth="1"/>
  </cols>
  <sheetData>
    <row r="1" spans="1:15" x14ac:dyDescent="0.25">
      <c r="G1" s="2"/>
      <c r="J1" s="39" t="s">
        <v>70</v>
      </c>
      <c r="K1" s="39"/>
      <c r="L1" s="3"/>
    </row>
    <row r="2" spans="1:15" x14ac:dyDescent="0.25">
      <c r="J2" s="41">
        <v>1</v>
      </c>
      <c r="K2" s="68">
        <v>291.67</v>
      </c>
    </row>
    <row r="3" spans="1:15" x14ac:dyDescent="0.25">
      <c r="J3" s="41">
        <v>2</v>
      </c>
      <c r="K3" s="68">
        <v>1558.37</v>
      </c>
    </row>
    <row r="4" spans="1:15" x14ac:dyDescent="0.25">
      <c r="J4" s="41">
        <v>3</v>
      </c>
      <c r="K4" s="69">
        <v>1.4042699999999999</v>
      </c>
    </row>
    <row r="5" spans="1:15" x14ac:dyDescent="0.25">
      <c r="J5" s="41">
        <v>4</v>
      </c>
      <c r="K5" s="78"/>
    </row>
    <row r="6" spans="1:15" x14ac:dyDescent="0.25">
      <c r="J6" s="46" t="s">
        <v>69</v>
      </c>
      <c r="K6" s="79"/>
    </row>
    <row r="8" spans="1:15" x14ac:dyDescent="0.25">
      <c r="A8" s="41" t="s">
        <v>58</v>
      </c>
      <c r="B8" s="41" t="s">
        <v>57</v>
      </c>
      <c r="C8" s="41" t="s">
        <v>64</v>
      </c>
      <c r="D8" s="41" t="s">
        <v>57</v>
      </c>
      <c r="E8" s="40" t="s">
        <v>49</v>
      </c>
      <c r="F8" s="41" t="s">
        <v>90</v>
      </c>
      <c r="J8" s="39" t="s">
        <v>68</v>
      </c>
      <c r="K8" s="39"/>
      <c r="L8" s="39"/>
      <c r="M8" s="39"/>
    </row>
    <row r="9" spans="1:15" x14ac:dyDescent="0.25">
      <c r="A9" s="50">
        <v>1</v>
      </c>
      <c r="B9" s="76" t="s">
        <v>64</v>
      </c>
      <c r="C9" s="76" t="s">
        <v>64</v>
      </c>
      <c r="D9" s="41" t="s">
        <v>64</v>
      </c>
      <c r="E9" s="41" t="s">
        <v>50</v>
      </c>
      <c r="F9" s="66"/>
      <c r="J9" s="41">
        <v>1</v>
      </c>
      <c r="K9" s="52">
        <v>5.0000000000000001E-3</v>
      </c>
      <c r="L9" s="76" t="s">
        <v>88</v>
      </c>
      <c r="M9" s="41"/>
    </row>
    <row r="10" spans="1:15" x14ac:dyDescent="0.25">
      <c r="A10" s="53">
        <v>2</v>
      </c>
      <c r="B10" s="54" t="s">
        <v>63</v>
      </c>
      <c r="C10" s="73" t="s">
        <v>64</v>
      </c>
      <c r="D10" s="54" t="s">
        <v>64</v>
      </c>
      <c r="E10" s="49" t="s">
        <v>80</v>
      </c>
      <c r="F10" s="66"/>
      <c r="J10" s="41">
        <v>2</v>
      </c>
      <c r="K10" s="41"/>
      <c r="L10" s="41" t="s">
        <v>67</v>
      </c>
      <c r="M10" s="41"/>
    </row>
    <row r="11" spans="1:15" x14ac:dyDescent="0.25">
      <c r="A11" s="47" t="s">
        <v>78</v>
      </c>
      <c r="B11" s="54" t="s">
        <v>63</v>
      </c>
      <c r="C11" s="73" t="s">
        <v>64</v>
      </c>
      <c r="D11" s="52"/>
      <c r="E11" s="41" t="s">
        <v>89</v>
      </c>
      <c r="F11" s="66"/>
      <c r="J11" s="47" t="s">
        <v>71</v>
      </c>
      <c r="K11" s="77"/>
    </row>
    <row r="12" spans="1:15" x14ac:dyDescent="0.25">
      <c r="A12" s="47" t="s">
        <v>79</v>
      </c>
      <c r="B12" s="54" t="s">
        <v>63</v>
      </c>
      <c r="C12" s="73" t="s">
        <v>64</v>
      </c>
      <c r="D12" s="48">
        <v>0.02</v>
      </c>
      <c r="E12" s="41" t="s">
        <v>51</v>
      </c>
      <c r="F12" s="66"/>
    </row>
    <row r="13" spans="1:15" x14ac:dyDescent="0.25">
      <c r="A13" s="47" t="s">
        <v>82</v>
      </c>
      <c r="B13" s="74" t="s">
        <v>64</v>
      </c>
      <c r="C13" s="73" t="s">
        <v>64</v>
      </c>
      <c r="D13" s="75" t="s">
        <v>64</v>
      </c>
      <c r="E13" s="49" t="s">
        <v>81</v>
      </c>
      <c r="F13" s="66"/>
      <c r="J13" s="39" t="s">
        <v>76</v>
      </c>
      <c r="K13" s="39"/>
      <c r="L13" s="39"/>
      <c r="M13" s="39"/>
      <c r="N13" s="39"/>
    </row>
    <row r="14" spans="1:15" x14ac:dyDescent="0.25">
      <c r="A14" s="62" t="s">
        <v>83</v>
      </c>
      <c r="B14" t="s">
        <v>66</v>
      </c>
      <c r="C14" s="59">
        <v>2.3999999999999998E-3</v>
      </c>
      <c r="D14" s="60">
        <v>0.221</v>
      </c>
      <c r="E14" s="41" t="s">
        <v>61</v>
      </c>
      <c r="F14" s="66"/>
      <c r="J14" s="41">
        <v>1</v>
      </c>
      <c r="K14" s="44">
        <f>F9</f>
        <v>0</v>
      </c>
      <c r="L14" s="55" t="s">
        <v>50</v>
      </c>
      <c r="M14" s="70"/>
      <c r="N14" s="70"/>
      <c r="O14" s="56"/>
    </row>
    <row r="15" spans="1:15" x14ac:dyDescent="0.25">
      <c r="A15" s="50">
        <v>7</v>
      </c>
      <c r="B15" s="55" t="s">
        <v>62</v>
      </c>
      <c r="C15" s="70"/>
      <c r="D15" s="56"/>
      <c r="E15" s="72" t="s">
        <v>53</v>
      </c>
      <c r="F15" s="80"/>
      <c r="J15" s="41">
        <v>2</v>
      </c>
      <c r="K15" s="45">
        <f>F13</f>
        <v>0</v>
      </c>
      <c r="L15" s="55" t="s">
        <v>52</v>
      </c>
      <c r="M15" s="70"/>
      <c r="N15" s="70"/>
      <c r="O15" s="56"/>
    </row>
    <row r="16" spans="1:15" x14ac:dyDescent="0.25">
      <c r="A16" s="50">
        <v>8</v>
      </c>
      <c r="B16" s="55" t="s">
        <v>62</v>
      </c>
      <c r="C16" s="70"/>
      <c r="D16" s="56"/>
      <c r="E16" s="42" t="s">
        <v>54</v>
      </c>
      <c r="F16" s="66"/>
      <c r="J16" s="71" t="s">
        <v>72</v>
      </c>
      <c r="K16" s="44"/>
      <c r="L16" s="55" t="s">
        <v>59</v>
      </c>
      <c r="M16" s="70"/>
      <c r="N16" s="70"/>
      <c r="O16" s="56"/>
    </row>
    <row r="17" spans="1:25" x14ac:dyDescent="0.25">
      <c r="A17" s="53" t="s">
        <v>84</v>
      </c>
      <c r="B17" s="55" t="s">
        <v>63</v>
      </c>
      <c r="C17" s="70"/>
      <c r="D17" s="56"/>
      <c r="E17" s="41" t="s">
        <v>3</v>
      </c>
      <c r="F17" s="66"/>
      <c r="J17" s="58" t="s">
        <v>73</v>
      </c>
      <c r="K17" s="44"/>
      <c r="L17" s="58" t="s">
        <v>65</v>
      </c>
      <c r="M17" s="58"/>
      <c r="N17" s="58"/>
      <c r="O17" s="58"/>
    </row>
    <row r="18" spans="1:25" x14ac:dyDescent="0.25">
      <c r="A18" s="50">
        <v>10</v>
      </c>
      <c r="B18" s="55" t="s">
        <v>91</v>
      </c>
      <c r="C18" s="56" t="s">
        <v>64</v>
      </c>
      <c r="D18" s="48">
        <v>0.16</v>
      </c>
      <c r="E18" s="41" t="s">
        <v>55</v>
      </c>
      <c r="F18" s="66"/>
      <c r="J18" s="57" t="s">
        <v>74</v>
      </c>
      <c r="K18" s="44"/>
      <c r="L18" s="57" t="s">
        <v>60</v>
      </c>
      <c r="M18" s="57"/>
      <c r="N18" s="57"/>
      <c r="O18" s="57"/>
    </row>
    <row r="19" spans="1:25" x14ac:dyDescent="0.25">
      <c r="A19" s="47" t="s">
        <v>85</v>
      </c>
      <c r="B19" s="41" t="s">
        <v>91</v>
      </c>
      <c r="C19" s="41" t="s">
        <v>64</v>
      </c>
      <c r="D19" s="41" t="s">
        <v>64</v>
      </c>
      <c r="E19" s="43" t="s">
        <v>2</v>
      </c>
      <c r="F19" s="67"/>
    </row>
    <row r="20" spans="1:25" x14ac:dyDescent="0.25">
      <c r="A20" s="63" t="s">
        <v>86</v>
      </c>
      <c r="B20" s="41" t="s">
        <v>91</v>
      </c>
      <c r="C20" s="61">
        <v>0.37959999999999999</v>
      </c>
      <c r="D20" s="61">
        <v>0.161</v>
      </c>
      <c r="E20" s="41" t="s">
        <v>56</v>
      </c>
      <c r="F20" s="66"/>
      <c r="J20" s="39" t="s">
        <v>75</v>
      </c>
      <c r="K20" s="3"/>
      <c r="L20" s="3"/>
      <c r="M20" s="51"/>
    </row>
    <row r="21" spans="1:25" x14ac:dyDescent="0.25">
      <c r="A21" s="64" t="s">
        <v>87</v>
      </c>
      <c r="B21" s="41" t="s">
        <v>91</v>
      </c>
      <c r="C21" s="41" t="s">
        <v>64</v>
      </c>
      <c r="D21" s="41" t="s">
        <v>64</v>
      </c>
      <c r="E21" s="40" t="s">
        <v>4</v>
      </c>
      <c r="F21" s="65"/>
    </row>
    <row r="26" spans="1:25" x14ac:dyDescent="0.25">
      <c r="Y26" s="37"/>
    </row>
    <row r="27" spans="1:25" x14ac:dyDescent="0.25">
      <c r="Y27" s="37"/>
    </row>
    <row r="28" spans="1:25" x14ac:dyDescent="0.25">
      <c r="J28" s="39" t="s">
        <v>77</v>
      </c>
      <c r="K28" s="39"/>
      <c r="L28" s="39"/>
      <c r="M28" s="39"/>
      <c r="N28" s="39"/>
      <c r="O28" s="3"/>
      <c r="Y28" s="37"/>
    </row>
    <row r="29" spans="1:25" x14ac:dyDescent="0.25">
      <c r="Y29" s="37"/>
    </row>
    <row r="30" spans="1:25" x14ac:dyDescent="0.25">
      <c r="Y30" s="37"/>
    </row>
    <row r="31" spans="1:25" x14ac:dyDescent="0.25">
      <c r="Y31" s="37"/>
    </row>
    <row r="32" spans="1:25" x14ac:dyDescent="0.25">
      <c r="Y32" s="37"/>
    </row>
    <row r="33" spans="25:25" x14ac:dyDescent="0.25">
      <c r="Y33" s="38"/>
    </row>
  </sheetData>
  <pageMargins left="0.7" right="0.7" top="0.75" bottom="0.75" header="0.3" footer="0.3"/>
  <pageSetup paperSize="9" orientation="portrait" verticalDpi="3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E1A25-1C81-4B3B-AB58-72559810EF9D}">
  <dimension ref="A1:Y33"/>
  <sheetViews>
    <sheetView topLeftCell="A7" zoomScale="110" zoomScaleNormal="110" workbookViewId="0">
      <selection activeCell="C44" sqref="C44"/>
    </sheetView>
  </sheetViews>
  <sheetFormatPr defaultRowHeight="15" x14ac:dyDescent="0.25"/>
  <cols>
    <col min="1" max="1" width="21" customWidth="1"/>
    <col min="2" max="3" width="7.5703125" customWidth="1"/>
    <col min="4" max="4" width="8" customWidth="1"/>
    <col min="5" max="5" width="43.85546875" customWidth="1"/>
    <col min="6" max="6" width="14.7109375" bestFit="1" customWidth="1"/>
    <col min="10" max="10" width="9.5703125" bestFit="1" customWidth="1"/>
    <col min="11" max="11" width="15.5703125" customWidth="1"/>
    <col min="12" max="12" width="13.140625" customWidth="1"/>
  </cols>
  <sheetData>
    <row r="1" spans="1:15" x14ac:dyDescent="0.25">
      <c r="G1" s="2"/>
      <c r="J1" s="39" t="s">
        <v>70</v>
      </c>
      <c r="K1" s="39"/>
      <c r="L1" s="3"/>
    </row>
    <row r="2" spans="1:15" x14ac:dyDescent="0.25">
      <c r="J2" s="41">
        <v>1</v>
      </c>
      <c r="K2" s="68">
        <v>291.67</v>
      </c>
    </row>
    <row r="3" spans="1:15" x14ac:dyDescent="0.25">
      <c r="J3" s="41">
        <v>2</v>
      </c>
      <c r="K3" s="68">
        <v>1558.37</v>
      </c>
    </row>
    <row r="4" spans="1:15" x14ac:dyDescent="0.25">
      <c r="J4" s="41">
        <v>3</v>
      </c>
      <c r="K4" s="69">
        <v>1.4042699999999999</v>
      </c>
    </row>
    <row r="5" spans="1:15" x14ac:dyDescent="0.25">
      <c r="J5" s="41">
        <v>4</v>
      </c>
      <c r="K5" s="78">
        <f>F13</f>
        <v>983.8192499999999</v>
      </c>
    </row>
    <row r="6" spans="1:15" x14ac:dyDescent="0.25">
      <c r="J6" s="46" t="s">
        <v>69</v>
      </c>
      <c r="K6" s="79">
        <f>K2+(K3-(K4*K5))</f>
        <v>468.49214180250004</v>
      </c>
    </row>
    <row r="8" spans="1:15" x14ac:dyDescent="0.25">
      <c r="A8" s="41" t="s">
        <v>58</v>
      </c>
      <c r="B8" s="41" t="s">
        <v>57</v>
      </c>
      <c r="C8" s="41" t="s">
        <v>64</v>
      </c>
      <c r="D8" s="41" t="s">
        <v>57</v>
      </c>
      <c r="E8" s="40" t="s">
        <v>49</v>
      </c>
      <c r="F8" s="41" t="s">
        <v>90</v>
      </c>
      <c r="J8" s="39" t="s">
        <v>68</v>
      </c>
      <c r="K8" s="39"/>
      <c r="L8" s="39"/>
      <c r="M8" s="39"/>
    </row>
    <row r="9" spans="1:15" x14ac:dyDescent="0.25">
      <c r="A9" s="50">
        <v>1</v>
      </c>
      <c r="B9" s="76" t="s">
        <v>64</v>
      </c>
      <c r="C9" s="76" t="s">
        <v>64</v>
      </c>
      <c r="D9" s="41" t="s">
        <v>64</v>
      </c>
      <c r="E9" s="41" t="s">
        <v>50</v>
      </c>
      <c r="F9" s="66">
        <v>1017.23</v>
      </c>
      <c r="J9" s="41">
        <v>1</v>
      </c>
      <c r="K9" s="52">
        <v>5.0000000000000001E-3</v>
      </c>
      <c r="L9" s="76" t="s">
        <v>88</v>
      </c>
      <c r="M9" s="41"/>
    </row>
    <row r="10" spans="1:15" x14ac:dyDescent="0.25">
      <c r="A10" s="53">
        <v>2</v>
      </c>
      <c r="B10" s="54" t="s">
        <v>63</v>
      </c>
      <c r="C10" s="73" t="s">
        <v>64</v>
      </c>
      <c r="D10" s="54" t="s">
        <v>64</v>
      </c>
      <c r="E10" s="49" t="s">
        <v>80</v>
      </c>
      <c r="F10" s="66">
        <v>950.55</v>
      </c>
      <c r="J10" s="41">
        <v>2</v>
      </c>
      <c r="K10" s="41">
        <v>3</v>
      </c>
      <c r="L10" s="41" t="s">
        <v>67</v>
      </c>
      <c r="M10" s="41"/>
    </row>
    <row r="11" spans="1:15" x14ac:dyDescent="0.25">
      <c r="A11" s="47" t="s">
        <v>78</v>
      </c>
      <c r="B11" s="54" t="s">
        <v>63</v>
      </c>
      <c r="C11" s="73" t="s">
        <v>64</v>
      </c>
      <c r="D11" s="52">
        <f>K11</f>
        <v>1.4999999999999999E-2</v>
      </c>
      <c r="E11" s="41" t="s">
        <v>89</v>
      </c>
      <c r="F11" s="66">
        <f>D11*F10</f>
        <v>14.258249999999999</v>
      </c>
      <c r="J11" s="47" t="s">
        <v>71</v>
      </c>
      <c r="K11" s="77">
        <f>K9*K10</f>
        <v>1.4999999999999999E-2</v>
      </c>
    </row>
    <row r="12" spans="1:15" x14ac:dyDescent="0.25">
      <c r="A12" s="47" t="s">
        <v>79</v>
      </c>
      <c r="B12" s="54" t="s">
        <v>63</v>
      </c>
      <c r="C12" s="73" t="s">
        <v>64</v>
      </c>
      <c r="D12" s="48">
        <v>0.02</v>
      </c>
      <c r="E12" s="41" t="s">
        <v>51</v>
      </c>
      <c r="F12" s="66">
        <f>D12*F10</f>
        <v>19.010999999999999</v>
      </c>
    </row>
    <row r="13" spans="1:15" x14ac:dyDescent="0.25">
      <c r="A13" s="47" t="s">
        <v>82</v>
      </c>
      <c r="B13" s="74" t="s">
        <v>64</v>
      </c>
      <c r="C13" s="73" t="s">
        <v>64</v>
      </c>
      <c r="D13" s="75" t="s">
        <v>64</v>
      </c>
      <c r="E13" s="49" t="s">
        <v>81</v>
      </c>
      <c r="F13" s="66">
        <f>SUM(F10:F12)</f>
        <v>983.8192499999999</v>
      </c>
      <c r="J13" s="39" t="s">
        <v>76</v>
      </c>
      <c r="K13" s="39"/>
      <c r="L13" s="39"/>
      <c r="M13" s="39"/>
      <c r="N13" s="39"/>
    </row>
    <row r="14" spans="1:15" x14ac:dyDescent="0.25">
      <c r="A14" s="62" t="s">
        <v>83</v>
      </c>
      <c r="B14" t="s">
        <v>66</v>
      </c>
      <c r="C14" s="59">
        <v>2.3999999999999998E-3</v>
      </c>
      <c r="D14" s="60">
        <v>0.221</v>
      </c>
      <c r="E14" s="41" t="s">
        <v>61</v>
      </c>
      <c r="F14" s="66">
        <f>D14*F13+K18</f>
        <v>217.45449277967998</v>
      </c>
      <c r="J14" s="41">
        <v>1</v>
      </c>
      <c r="K14" s="44">
        <f>F9</f>
        <v>1017.23</v>
      </c>
      <c r="L14" s="55" t="s">
        <v>50</v>
      </c>
      <c r="M14" s="70"/>
      <c r="N14" s="70"/>
      <c r="O14" s="56"/>
    </row>
    <row r="15" spans="1:15" x14ac:dyDescent="0.25">
      <c r="A15" s="50">
        <v>7</v>
      </c>
      <c r="B15" s="55" t="s">
        <v>62</v>
      </c>
      <c r="C15" s="70"/>
      <c r="D15" s="56"/>
      <c r="E15" s="72" t="s">
        <v>53</v>
      </c>
      <c r="F15" s="80">
        <f>K6</f>
        <v>468.49214180250004</v>
      </c>
      <c r="J15" s="41">
        <v>2</v>
      </c>
      <c r="K15" s="45">
        <f>F13</f>
        <v>983.8192499999999</v>
      </c>
      <c r="L15" s="55" t="s">
        <v>52</v>
      </c>
      <c r="M15" s="70"/>
      <c r="N15" s="70"/>
      <c r="O15" s="56"/>
    </row>
    <row r="16" spans="1:15" x14ac:dyDescent="0.25">
      <c r="A16" s="50">
        <v>8</v>
      </c>
      <c r="B16" s="55" t="s">
        <v>62</v>
      </c>
      <c r="C16" s="70"/>
      <c r="D16" s="56"/>
      <c r="E16" s="42" t="s">
        <v>54</v>
      </c>
      <c r="F16" s="66">
        <v>203.08</v>
      </c>
      <c r="J16" s="71" t="s">
        <v>72</v>
      </c>
      <c r="K16" s="44">
        <f>K14-K15</f>
        <v>33.410750000000121</v>
      </c>
      <c r="L16" s="55" t="s">
        <v>59</v>
      </c>
      <c r="M16" s="70"/>
      <c r="N16" s="70"/>
      <c r="O16" s="56"/>
    </row>
    <row r="17" spans="1:25" x14ac:dyDescent="0.25">
      <c r="A17" s="53" t="s">
        <v>84</v>
      </c>
      <c r="B17" s="55" t="s">
        <v>63</v>
      </c>
      <c r="C17" s="70"/>
      <c r="D17" s="56"/>
      <c r="E17" s="41" t="s">
        <v>3</v>
      </c>
      <c r="F17" s="66">
        <f>F13-F14-F15-F16</f>
        <v>94.79261541781986</v>
      </c>
      <c r="J17" s="58" t="s">
        <v>73</v>
      </c>
      <c r="K17" s="44">
        <f>C20*K16</f>
        <v>12.682720700000045</v>
      </c>
      <c r="L17" s="58" t="s">
        <v>65</v>
      </c>
      <c r="M17" s="58"/>
      <c r="N17" s="58"/>
      <c r="O17" s="58"/>
    </row>
    <row r="18" spans="1:25" x14ac:dyDescent="0.25">
      <c r="A18" s="50">
        <v>10</v>
      </c>
      <c r="B18" s="55" t="s">
        <v>91</v>
      </c>
      <c r="C18" s="56" t="s">
        <v>64</v>
      </c>
      <c r="D18" s="48">
        <v>0.16</v>
      </c>
      <c r="E18" s="41" t="s">
        <v>55</v>
      </c>
      <c r="F18" s="66">
        <f>F17*D18</f>
        <v>15.166818466851177</v>
      </c>
      <c r="J18" s="57" t="s">
        <v>74</v>
      </c>
      <c r="K18" s="44">
        <f>C14*K17</f>
        <v>3.0438529680000107E-2</v>
      </c>
      <c r="L18" s="57" t="s">
        <v>60</v>
      </c>
      <c r="M18" s="57"/>
      <c r="N18" s="57"/>
      <c r="O18" s="57"/>
    </row>
    <row r="19" spans="1:25" x14ac:dyDescent="0.25">
      <c r="A19" s="47" t="s">
        <v>85</v>
      </c>
      <c r="B19" s="41" t="s">
        <v>91</v>
      </c>
      <c r="C19" s="41" t="s">
        <v>64</v>
      </c>
      <c r="D19" s="41" t="s">
        <v>64</v>
      </c>
      <c r="E19" s="43" t="s">
        <v>2</v>
      </c>
      <c r="F19" s="67">
        <f>F13-F14-F18</f>
        <v>751.19793875346875</v>
      </c>
    </row>
    <row r="20" spans="1:25" x14ac:dyDescent="0.25">
      <c r="A20" s="63" t="s">
        <v>86</v>
      </c>
      <c r="B20" s="41" t="s">
        <v>91</v>
      </c>
      <c r="C20" s="61">
        <v>0.37959999999999999</v>
      </c>
      <c r="D20" s="61">
        <v>0.161</v>
      </c>
      <c r="E20" s="41" t="s">
        <v>56</v>
      </c>
      <c r="F20" s="66">
        <f>D20*F13+K17</f>
        <v>171.07761995000001</v>
      </c>
      <c r="J20" s="39" t="s">
        <v>75</v>
      </c>
      <c r="K20" s="3"/>
      <c r="L20" s="3"/>
      <c r="M20" s="51"/>
    </row>
    <row r="21" spans="1:25" x14ac:dyDescent="0.25">
      <c r="A21" s="64" t="s">
        <v>87</v>
      </c>
      <c r="B21" s="41" t="s">
        <v>91</v>
      </c>
      <c r="C21" s="41" t="s">
        <v>64</v>
      </c>
      <c r="D21" s="41" t="s">
        <v>64</v>
      </c>
      <c r="E21" s="40" t="s">
        <v>4</v>
      </c>
      <c r="F21" s="65">
        <f>F13+F20</f>
        <v>1154.8968699499999</v>
      </c>
    </row>
    <row r="26" spans="1:25" x14ac:dyDescent="0.25">
      <c r="Y26" s="37"/>
    </row>
    <row r="27" spans="1:25" x14ac:dyDescent="0.25">
      <c r="Y27" s="37"/>
    </row>
    <row r="28" spans="1:25" x14ac:dyDescent="0.25">
      <c r="J28" s="39" t="s">
        <v>77</v>
      </c>
      <c r="K28" s="39"/>
      <c r="L28" s="39"/>
      <c r="M28" s="39"/>
      <c r="N28" s="39"/>
      <c r="O28" s="3"/>
      <c r="Y28" s="37"/>
    </row>
    <row r="29" spans="1:25" x14ac:dyDescent="0.25">
      <c r="Y29" s="37"/>
    </row>
    <row r="30" spans="1:25" x14ac:dyDescent="0.25">
      <c r="Y30" s="37"/>
    </row>
    <row r="31" spans="1:25" x14ac:dyDescent="0.25">
      <c r="Y31" s="37"/>
    </row>
    <row r="32" spans="1:25" x14ac:dyDescent="0.25">
      <c r="Y32" s="37"/>
    </row>
    <row r="33" spans="25:25" x14ac:dyDescent="0.25">
      <c r="Y33" s="38"/>
    </row>
  </sheetData>
  <pageMargins left="0.7" right="0.7" top="0.75" bottom="0.75" header="0.3" footer="0.3"/>
  <pageSetup paperSize="9" orientation="portrait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2</vt:i4>
      </vt:variant>
    </vt:vector>
  </HeadingPairs>
  <TitlesOfParts>
    <vt:vector size="5" baseType="lpstr">
      <vt:lpstr>List1</vt:lpstr>
      <vt:lpstr>1. naloga</vt:lpstr>
      <vt:lpstr>3. naloga reš</vt:lpstr>
      <vt:lpstr>'1. naloga'!_Toc503447765</vt:lpstr>
      <vt:lpstr>'3. naloga reš'!_Toc503447765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Marjana</dc:creator>
  <cp:lastModifiedBy>Janez Černilec</cp:lastModifiedBy>
  <cp:lastPrinted>2020-10-01T06:27:34Z</cp:lastPrinted>
  <dcterms:created xsi:type="dcterms:W3CDTF">2020-01-19T13:56:07Z</dcterms:created>
  <dcterms:modified xsi:type="dcterms:W3CDTF">2020-10-20T06:33:03Z</dcterms:modified>
</cp:coreProperties>
</file>