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13_ncr:1_{8F6099EB-60A1-4899-A37C-11ACF44BF400}" xr6:coauthVersionLast="45" xr6:coauthVersionMax="45" xr10:uidLastSave="{00000000-0000-0000-0000-000000000000}"/>
  <bookViews>
    <workbookView xWindow="-120" yWindow="-120" windowWidth="29040" windowHeight="17640" xr2:uid="{302CB1AC-048E-4C2D-A11B-7E765C51B07E}"/>
  </bookViews>
  <sheets>
    <sheet name="odpravnina" sheetId="2" r:id="rId1"/>
    <sheet name="upokojitvi" sheetId="7" r:id="rId2"/>
    <sheet name="dohodninska_lestvica" sheetId="4" r:id="rId3"/>
    <sheet name="osebne_olajšave" sheetId="6" r:id="rId4"/>
    <sheet name="odpravnina_resena" sheetId="8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7" l="1"/>
  <c r="I60" i="7"/>
  <c r="I59" i="7"/>
  <c r="I57" i="7"/>
  <c r="L61" i="7"/>
  <c r="H57" i="7"/>
  <c r="C58" i="7"/>
  <c r="L54" i="7"/>
  <c r="L55" i="7" s="1"/>
  <c r="I54" i="7"/>
  <c r="I51" i="7"/>
  <c r="I49" i="7"/>
  <c r="L18" i="7"/>
  <c r="D8" i="7"/>
  <c r="D44" i="7" l="1"/>
  <c r="C56" i="7" s="1"/>
  <c r="I50" i="7"/>
  <c r="I56" i="7" s="1"/>
  <c r="C20" i="7"/>
  <c r="D62" i="7"/>
  <c r="I58" i="7"/>
  <c r="B63" i="7"/>
  <c r="G15" i="4"/>
  <c r="H15" i="4" s="1"/>
  <c r="L25" i="7"/>
  <c r="L19" i="7"/>
  <c r="I14" i="2"/>
  <c r="K17" i="2" s="1"/>
  <c r="I16" i="2" s="1"/>
  <c r="K24" i="8"/>
  <c r="H23" i="8"/>
  <c r="I21" i="8"/>
  <c r="I20" i="8"/>
  <c r="I19" i="8"/>
  <c r="D19" i="8"/>
  <c r="I18" i="8"/>
  <c r="K17" i="8"/>
  <c r="I17" i="8"/>
  <c r="D17" i="8"/>
  <c r="C17" i="8"/>
  <c r="C18" i="8" s="1"/>
  <c r="D18" i="8" s="1"/>
  <c r="I15" i="8"/>
  <c r="K24" i="2"/>
  <c r="D63" i="7" l="1"/>
  <c r="B64" i="7" s="1"/>
  <c r="B66" i="7"/>
  <c r="D66" i="7" s="1"/>
  <c r="D67" i="7" s="1"/>
  <c r="I61" i="7"/>
  <c r="H63" i="7" s="1"/>
  <c r="C64" i="7" s="1"/>
  <c r="I14" i="7"/>
  <c r="K18" i="2"/>
  <c r="D20" i="8"/>
  <c r="B25" i="8" s="1"/>
  <c r="D24" i="8"/>
  <c r="I23" i="8"/>
  <c r="K18" i="8"/>
  <c r="I16" i="8" s="1"/>
  <c r="I22" i="8" s="1"/>
  <c r="D64" i="7" l="1"/>
  <c r="D65" i="7" s="1"/>
  <c r="I24" i="8"/>
  <c r="B28" i="8"/>
  <c r="D28" i="8" s="1"/>
  <c r="D29" i="8" s="1"/>
  <c r="D25" i="8"/>
  <c r="I19" i="7"/>
  <c r="I18" i="7"/>
  <c r="I17" i="7"/>
  <c r="I16" i="7"/>
  <c r="I15" i="7"/>
  <c r="H21" i="7"/>
  <c r="I20" i="2"/>
  <c r="I19" i="2"/>
  <c r="I18" i="2"/>
  <c r="I17" i="2"/>
  <c r="I21" i="2"/>
  <c r="B48" i="6"/>
  <c r="C22" i="7"/>
  <c r="I21" i="7" s="1"/>
  <c r="I22" i="7" s="1"/>
  <c r="E38" i="6"/>
  <c r="C39" i="6" s="1"/>
  <c r="C40" i="6" s="1"/>
  <c r="C41" i="6" s="1"/>
  <c r="C42" i="6" s="1"/>
  <c r="C43" i="6" s="1"/>
  <c r="B38" i="6"/>
  <c r="F28" i="6"/>
  <c r="B29" i="6" s="1"/>
  <c r="B30" i="6" s="1"/>
  <c r="B31" i="6" s="1"/>
  <c r="B32" i="6" s="1"/>
  <c r="B33" i="6" s="1"/>
  <c r="E28" i="6"/>
  <c r="C29" i="6" s="1"/>
  <c r="C30" i="6" s="1"/>
  <c r="C31" i="6" s="1"/>
  <c r="C32" i="6" s="1"/>
  <c r="C33" i="6" s="1"/>
  <c r="E22" i="6"/>
  <c r="B22" i="6"/>
  <c r="D17" i="6"/>
  <c r="D18" i="6" s="1"/>
  <c r="D19" i="6" s="1"/>
  <c r="D20" i="6" s="1"/>
  <c r="D21" i="6" s="1"/>
  <c r="C17" i="6"/>
  <c r="C18" i="6" s="1"/>
  <c r="C19" i="6" s="1"/>
  <c r="C20" i="6" s="1"/>
  <c r="C21" i="6" s="1"/>
  <c r="D16" i="6"/>
  <c r="C16" i="6"/>
  <c r="E11" i="6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C6" i="6"/>
  <c r="C7" i="6" s="1"/>
  <c r="D5" i="6"/>
  <c r="B5" i="6"/>
  <c r="B6" i="6" s="1"/>
  <c r="B7" i="6" s="1"/>
  <c r="A13" i="4"/>
  <c r="A12" i="4"/>
  <c r="C10" i="4"/>
  <c r="B10" i="4"/>
  <c r="A11" i="4" s="1"/>
  <c r="C9" i="4"/>
  <c r="B9" i="4"/>
  <c r="A10" i="4" s="1"/>
  <c r="A9" i="4"/>
  <c r="A5" i="4"/>
  <c r="A4" i="4"/>
  <c r="A3" i="4"/>
  <c r="B27" i="7" l="1"/>
  <c r="D26" i="7"/>
  <c r="B26" i="8"/>
  <c r="I26" i="8"/>
  <c r="I25" i="8"/>
  <c r="I13" i="7"/>
  <c r="F38" i="6"/>
  <c r="B39" i="6" s="1"/>
  <c r="B40" i="6" s="1"/>
  <c r="B41" i="6" s="1"/>
  <c r="B42" i="6" s="1"/>
  <c r="B43" i="6" s="1"/>
  <c r="I27" i="8" l="1"/>
  <c r="H28" i="8" s="1"/>
  <c r="C26" i="8" s="1"/>
  <c r="D26" i="8" s="1"/>
  <c r="D27" i="8" s="1"/>
  <c r="I20" i="7"/>
  <c r="B30" i="7"/>
  <c r="D30" i="7" s="1"/>
  <c r="D31" i="7" s="1"/>
  <c r="D27" i="7"/>
  <c r="B28" i="7" s="1"/>
  <c r="C17" i="2" l="1"/>
  <c r="D17" i="2" s="1"/>
  <c r="D19" i="2"/>
  <c r="H23" i="2"/>
  <c r="C18" i="2" l="1"/>
  <c r="D18" i="2" s="1"/>
  <c r="D24" i="2" s="1"/>
  <c r="I15" i="2"/>
  <c r="I22" i="2" l="1"/>
  <c r="D20" i="2"/>
  <c r="B25" i="2" s="1"/>
  <c r="I23" i="2" l="1"/>
  <c r="B28" i="2"/>
  <c r="D28" i="2" s="1"/>
  <c r="D29" i="2" s="1"/>
  <c r="D25" i="2"/>
  <c r="B26" i="2" s="1"/>
  <c r="I24" i="2"/>
  <c r="I26" i="2" l="1"/>
  <c r="I25" i="2"/>
  <c r="I27" i="2" l="1"/>
  <c r="H28" i="2" s="1"/>
  <c r="C26" i="2" s="1"/>
  <c r="D26" i="2" s="1"/>
  <c r="D27" i="2" s="1"/>
  <c r="I23" i="7"/>
  <c r="I25" i="7" s="1"/>
  <c r="H27" i="7" s="1"/>
  <c r="C28" i="7" s="1"/>
  <c r="D28" i="7" s="1"/>
  <c r="D29" i="7" s="1"/>
  <c r="I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D17" authorId="0" shapeId="0" xr:uid="{D35F9126-A62D-4609-AE4E-631B9BFA47C5}">
      <text>
        <r>
          <rPr>
            <b/>
            <sz val="9"/>
            <color indexed="81"/>
            <rFont val="Segoe UI"/>
            <charset val="1"/>
          </rPr>
          <t>108. člen 1/3*33*pov. plača delavca</t>
        </r>
        <r>
          <rPr>
            <sz val="9"/>
            <color indexed="81"/>
            <rFont val="Segoe UI"/>
            <charset val="1"/>
          </rPr>
          <t xml:space="preserve">
Koliko njemu lahko damo?</t>
        </r>
      </text>
    </comment>
    <comment ref="D18" authorId="0" shapeId="0" xr:uid="{D3DF1996-8737-4CC3-97DC-F8511D0203BD}">
      <text>
        <r>
          <rPr>
            <b/>
            <sz val="9"/>
            <color indexed="81"/>
            <rFont val="Segoe UI"/>
            <charset val="1"/>
          </rPr>
          <t>108. člen 10 delavčevih povprečnih plač</t>
        </r>
        <r>
          <rPr>
            <sz val="9"/>
            <color indexed="81"/>
            <rFont val="Segoe UI"/>
            <charset val="1"/>
          </rPr>
          <t xml:space="preserve">
10 povprečnih plač</t>
        </r>
      </text>
    </comment>
    <comment ref="D19" authorId="0" shapeId="0" xr:uid="{EF1E9784-75FC-4770-8A91-B9DE3FA6A6E7}">
      <text>
        <r>
          <rPr>
            <b/>
            <sz val="9"/>
            <color indexed="81"/>
            <rFont val="Segoe UI"/>
            <charset val="1"/>
          </rPr>
          <t>Zdoh-1 10 PP v RS</t>
        </r>
        <r>
          <rPr>
            <sz val="9"/>
            <color indexed="81"/>
            <rFont val="Segoe UI"/>
            <charset val="1"/>
          </rPr>
          <t xml:space="preserve">
Neobdavčeno lahko dobi samo 10 povprečnih plač v RS</t>
        </r>
      </text>
    </comment>
    <comment ref="A20" authorId="0" shapeId="0" xr:uid="{C48B1EFE-F96B-4034-84D1-9461D447CEEF}">
      <text>
        <r>
          <rPr>
            <b/>
            <sz val="9"/>
            <color indexed="81"/>
            <rFont val="Segoe UI"/>
            <family val="2"/>
            <charset val="238"/>
          </rPr>
          <t>Izračunamo razliko med omejitvijo po 108. členu ZDR - 1 in Zdoh-2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20" authorId="0" shapeId="0" xr:uid="{DA516884-AE3D-4688-ACFE-E12F6AFD87F4}">
      <text>
        <r>
          <rPr>
            <b/>
            <sz val="9"/>
            <color indexed="81"/>
            <rFont val="Segoe UI"/>
            <family val="2"/>
            <charset val="238"/>
          </rPr>
          <t xml:space="preserve">Osnova za obdavčitev
Ker meni dohodnina narekuje 10 povprečnih plač v RS je neobdavčeno (17.300) -&gt; Osnova za obdavčitev, plača dajatve firma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B28" authorId="0" shapeId="0" xr:uid="{1851D844-54C2-4A0A-B9B9-4ED226627203}">
      <text>
        <r>
          <rPr>
            <b/>
            <sz val="9"/>
            <color indexed="81"/>
            <rFont val="Segoe UI"/>
            <family val="2"/>
            <charset val="238"/>
          </rPr>
          <t xml:space="preserve">10.200-2254,2 = 7.945,80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64" authorId="0" shapeId="0" xr:uid="{BB432C31-9358-499F-BD73-3642AED9168B}">
      <text>
        <r>
          <rPr>
            <b/>
            <sz val="9"/>
            <color indexed="81"/>
            <rFont val="Segoe UI"/>
            <family val="2"/>
            <charset val="238"/>
          </rPr>
          <t xml:space="preserve">10.200-2254,2 = 7.945,80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B3" authorId="0" shapeId="0" xr:uid="{368F378C-1BD2-4A4A-902D-4D84985CFC88}">
      <text>
        <r>
          <rPr>
            <b/>
            <sz val="11"/>
            <color indexed="81"/>
            <rFont val="Segoe UI"/>
            <family val="2"/>
            <charset val="238"/>
          </rPr>
          <t>2. Osebne olajšave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B11" authorId="0" shapeId="0" xr:uid="{A8E8F213-B7D3-46A6-8564-6DAC29E2590C}">
      <text>
        <r>
          <rPr>
            <b/>
            <sz val="11"/>
            <color indexed="81"/>
            <rFont val="Segoe UI"/>
            <family val="2"/>
            <charset val="238"/>
          </rPr>
          <t xml:space="preserve">1. vzdrževani otrok
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B22" authorId="0" shapeId="0" xr:uid="{2C85B5CA-08D0-4F14-B4C5-3330D9B4F5E8}">
      <text>
        <r>
          <rPr>
            <b/>
            <sz val="11"/>
            <color indexed="81"/>
            <rFont val="Segoe UI"/>
            <family val="2"/>
            <charset val="238"/>
          </rPr>
          <t xml:space="preserve">Otrok, ki potrebuje posebno nego
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D17" authorId="0" shapeId="0" xr:uid="{4083AF3D-7406-4853-AC27-EF44CF0DABC1}">
      <text>
        <r>
          <rPr>
            <b/>
            <sz val="9"/>
            <color indexed="81"/>
            <rFont val="Segoe UI"/>
            <charset val="1"/>
          </rPr>
          <t>108. člen 1/3*33*pov. plača delavca</t>
        </r>
        <r>
          <rPr>
            <sz val="9"/>
            <color indexed="81"/>
            <rFont val="Segoe UI"/>
            <charset val="1"/>
          </rPr>
          <t xml:space="preserve">
Koliko njemu lahko damo?</t>
        </r>
      </text>
    </comment>
    <comment ref="D18" authorId="0" shapeId="0" xr:uid="{368AF08A-66BF-4B90-8AB1-3F8DEB730532}">
      <text>
        <r>
          <rPr>
            <b/>
            <sz val="9"/>
            <color indexed="81"/>
            <rFont val="Segoe UI"/>
            <charset val="1"/>
          </rPr>
          <t>108. člen 10 delavčevih povprečnih plač</t>
        </r>
        <r>
          <rPr>
            <sz val="9"/>
            <color indexed="81"/>
            <rFont val="Segoe UI"/>
            <charset val="1"/>
          </rPr>
          <t xml:space="preserve">
10 povprečnih plač</t>
        </r>
      </text>
    </comment>
    <comment ref="D19" authorId="0" shapeId="0" xr:uid="{83B56745-FF80-4763-BC7C-FF4294509249}">
      <text>
        <r>
          <rPr>
            <b/>
            <sz val="9"/>
            <color indexed="81"/>
            <rFont val="Segoe UI"/>
            <charset val="1"/>
          </rPr>
          <t>Zdoh-1 10 PP v RS</t>
        </r>
        <r>
          <rPr>
            <sz val="9"/>
            <color indexed="81"/>
            <rFont val="Segoe UI"/>
            <charset val="1"/>
          </rPr>
          <t xml:space="preserve">
Neobdavčeno lahko dobi samo 10 povprečnih plač v RS</t>
        </r>
      </text>
    </comment>
    <comment ref="A20" authorId="0" shapeId="0" xr:uid="{1760BD8B-9EE6-46E5-BB62-1328FD4A5062}">
      <text>
        <r>
          <rPr>
            <b/>
            <sz val="9"/>
            <color indexed="81"/>
            <rFont val="Segoe UI"/>
            <family val="2"/>
            <charset val="238"/>
          </rPr>
          <t>Izračunamo razliko med omejitvijo po 108. členu ZDR - 1 in Zdoh-2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20" authorId="0" shapeId="0" xr:uid="{AC469AAA-FDAE-46C0-B2F9-1475549D213E}">
      <text>
        <r>
          <rPr>
            <b/>
            <sz val="9"/>
            <color indexed="81"/>
            <rFont val="Segoe UI"/>
            <family val="2"/>
            <charset val="238"/>
          </rPr>
          <t xml:space="preserve">Osnova za obdavčitev
Ker meni dohodnina narekuje 10 povprečnih plač v RS je neobdavčeno (17.300) -&gt; Osnova za obdavčitev, plača dajatve firma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<sst xmlns="http://schemas.openxmlformats.org/spreadsheetml/2006/main" count="238" uniqueCount="83">
  <si>
    <t>Delavčeva povprečna plača v zadnjih treh mesecih</t>
  </si>
  <si>
    <t xml:space="preserve">Delavčeva zadnja plača </t>
  </si>
  <si>
    <t>Povprečna plača v RS</t>
  </si>
  <si>
    <t>EM</t>
  </si>
  <si>
    <t>let</t>
  </si>
  <si>
    <t>Zakon o delovnih razmerjih, 108. člen</t>
  </si>
  <si>
    <t>od 1 do 10 let</t>
  </si>
  <si>
    <t>več kot 10 let do 20 let</t>
  </si>
  <si>
    <t>več kot 20 let</t>
  </si>
  <si>
    <t>%</t>
  </si>
  <si>
    <t>Obračun odpravnine</t>
  </si>
  <si>
    <t>Bruto odpravnina</t>
  </si>
  <si>
    <t>Neto odpravnina</t>
  </si>
  <si>
    <t>Prispevek na plače</t>
  </si>
  <si>
    <t>Skupni strošek ob upokojitvi</t>
  </si>
  <si>
    <t>Povprečna stopnja dohodnine</t>
  </si>
  <si>
    <t>Delavčeva zadnja plača</t>
  </si>
  <si>
    <t>Prispevki iz plač</t>
  </si>
  <si>
    <t>Splošna olajšava</t>
  </si>
  <si>
    <t>1/12 odpravnine (obdavčeno)</t>
  </si>
  <si>
    <t>Dohodnina</t>
  </si>
  <si>
    <t>Fiksni davek</t>
  </si>
  <si>
    <t>Davek od razlike</t>
  </si>
  <si>
    <t>Osnova za dohodnino 2</t>
  </si>
  <si>
    <t>Osnova za dohodnino 1</t>
  </si>
  <si>
    <t>ODPOVED POGODBE O ZAPOSLITVI  IZ POSLOVNIH RAZLOGOV ALI NEZMOŽNOSTI ZA  DELO - ODPRAVNINA</t>
  </si>
  <si>
    <t>22,10% prispevkov</t>
  </si>
  <si>
    <t xml:space="preserve">Akontacija dohodnine </t>
  </si>
  <si>
    <t>eur</t>
  </si>
  <si>
    <t>Delovna doba delavca pri delodajalcu</t>
  </si>
  <si>
    <t>Čas zaposlitve pri delodajalcu</t>
  </si>
  <si>
    <t>Neobdavčen del</t>
  </si>
  <si>
    <t>2 povprečni plači v RS</t>
  </si>
  <si>
    <t>2 njegovi povprečni plači</t>
  </si>
  <si>
    <t>2 povprečni plači delavca</t>
  </si>
  <si>
    <t>Razlika</t>
  </si>
  <si>
    <t>Spodnja meja</t>
  </si>
  <si>
    <t>Zgornja meja</t>
  </si>
  <si>
    <t>% nad spodnjo mejo</t>
  </si>
  <si>
    <t>Preračun na mesec</t>
  </si>
  <si>
    <t>Invalid s 100 % telesno okvaro</t>
  </si>
  <si>
    <t>Št. Oseb</t>
  </si>
  <si>
    <t>Mesečna olajšava v eurih</t>
  </si>
  <si>
    <t>Letna olajšava v eurih</t>
  </si>
  <si>
    <t>Št. otrok</t>
  </si>
  <si>
    <t>Komulativa mesec</t>
  </si>
  <si>
    <t>Komulativa leto</t>
  </si>
  <si>
    <t>Otrok, ki potrebuje posebno nego</t>
  </si>
  <si>
    <t>Za vsakega drugega vzdrževanega družinskega člana</t>
  </si>
  <si>
    <t>Št. vzdrževanih članov</t>
  </si>
  <si>
    <t>Rezidenta izobražuje status dijaka ali študenta</t>
  </si>
  <si>
    <t>Št. Študentov, dijakov</t>
  </si>
  <si>
    <t>ODPRAVNINA OB UPOKOJITVI</t>
  </si>
  <si>
    <t>PREJME TA ZNESEK, ČE JE MANJŠI OD 4.063 EUR</t>
  </si>
  <si>
    <t>PREJME TA ZNESEK, ČE JE VEČJI OD 4.063 EUR</t>
  </si>
  <si>
    <t>V spodnjo tabelo z zelenimi vrsticami vstavite ustrezne podatke!</t>
  </si>
  <si>
    <t>Število otrok</t>
  </si>
  <si>
    <t>Št. vzdrževanih družinski članov</t>
  </si>
  <si>
    <t>Št. rezidentov status dijaka, študenta</t>
  </si>
  <si>
    <t>Št. Invalidov s 100 % telesno okvaro</t>
  </si>
  <si>
    <t>Olajšava za prostovoljno dodatno p. zav.</t>
  </si>
  <si>
    <t>Olajšava za prostovoljno dodatno pokojninsko zavarovanje</t>
  </si>
  <si>
    <t>xxxxxxxxx</t>
  </si>
  <si>
    <t>delovnega razmerja v eurih</t>
  </si>
  <si>
    <t>Če znaša mesečni bruto dohodek iz</t>
  </si>
  <si>
    <t>Znaša splošna olajšava v eurih</t>
  </si>
  <si>
    <t>Nad</t>
  </si>
  <si>
    <t>Do</t>
  </si>
  <si>
    <t>291,67+(1.558,37-1,40427xbruto dohodek)</t>
  </si>
  <si>
    <t>XXXXXX</t>
  </si>
  <si>
    <t>Zdoh-2 10 PP v Republiki Slovenij</t>
  </si>
  <si>
    <t>108. člen ZDR 1/3*33*pov. plača delavca</t>
  </si>
  <si>
    <t>Povprečna stopnja dohodnine 1 mes. dohodka</t>
  </si>
  <si>
    <t>108. člen ZDR 10 delavčevih povp. plač</t>
  </si>
  <si>
    <t>Osnovo za obdavčitev</t>
  </si>
  <si>
    <t>XXXXXXXXXXX</t>
  </si>
  <si>
    <t>2 PovprečnI plače v RS</t>
  </si>
  <si>
    <t>Mesec in leto</t>
  </si>
  <si>
    <t>Zap. št</t>
  </si>
  <si>
    <t>število</t>
  </si>
  <si>
    <t>XXXXXXXXXXXXXXXXXXXXXXXXXXXXXXXXXXXXXXX</t>
  </si>
  <si>
    <t>XXXXXXXXXX</t>
  </si>
  <si>
    <t>Povprečna plača v RS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</si>
</sst>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1"/>
      <name val="Segoe UI"/>
      <family val="2"/>
      <charset val="238"/>
    </font>
    <font>
      <sz val="11"/>
      <color indexed="81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5B88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2" borderId="1" xfId="0" applyFill="1" applyBorder="1"/>
    <xf numFmtId="9" fontId="0" fillId="0" borderId="1" xfId="0" applyNumberFormat="1" applyBorder="1"/>
    <xf numFmtId="10" fontId="0" fillId="0" borderId="1" xfId="0" applyNumberFormat="1" applyBorder="1"/>
    <xf numFmtId="43" fontId="2" fillId="0" borderId="1" xfId="1" applyFont="1" applyBorder="1"/>
    <xf numFmtId="43" fontId="0" fillId="2" borderId="1" xfId="1" applyFont="1" applyFill="1" applyBorder="1"/>
    <xf numFmtId="0" fontId="3" fillId="0" borderId="0" xfId="0" applyFont="1"/>
    <xf numFmtId="10" fontId="0" fillId="2" borderId="1" xfId="2" applyNumberFormat="1" applyFont="1" applyFill="1" applyBorder="1"/>
    <xf numFmtId="0" fontId="9" fillId="0" borderId="0" xfId="0" applyFont="1"/>
    <xf numFmtId="0" fontId="3" fillId="3" borderId="1" xfId="0" applyFont="1" applyFill="1" applyBorder="1"/>
    <xf numFmtId="4" fontId="0" fillId="0" borderId="1" xfId="0" applyNumberFormat="1" applyBorder="1"/>
    <xf numFmtId="0" fontId="0" fillId="3" borderId="1" xfId="0" applyFill="1" applyBorder="1"/>
    <xf numFmtId="0" fontId="2" fillId="0" borderId="1" xfId="0" applyFont="1" applyBorder="1"/>
    <xf numFmtId="0" fontId="10" fillId="0" borderId="0" xfId="0" applyFont="1"/>
    <xf numFmtId="43" fontId="0" fillId="0" borderId="3" xfId="1" applyFont="1" applyBorder="1"/>
    <xf numFmtId="164" fontId="0" fillId="0" borderId="1" xfId="0" applyNumberFormat="1" applyBorder="1"/>
    <xf numFmtId="0" fontId="0" fillId="3" borderId="4" xfId="0" applyFill="1" applyBorder="1"/>
    <xf numFmtId="0" fontId="8" fillId="0" borderId="0" xfId="0" applyFont="1"/>
    <xf numFmtId="0" fontId="0" fillId="4" borderId="1" xfId="0" applyFill="1" applyBorder="1"/>
    <xf numFmtId="164" fontId="0" fillId="4" borderId="1" xfId="0" applyNumberFormat="1" applyFill="1" applyBorder="1"/>
    <xf numFmtId="43" fontId="0" fillId="4" borderId="1" xfId="1" applyFont="1" applyFill="1" applyBorder="1"/>
    <xf numFmtId="0" fontId="2" fillId="0" borderId="0" xfId="0" applyFont="1"/>
    <xf numFmtId="164" fontId="0" fillId="0" borderId="0" xfId="0" applyNumberFormat="1"/>
    <xf numFmtId="0" fontId="0" fillId="0" borderId="1" xfId="0" applyFill="1" applyBorder="1"/>
    <xf numFmtId="0" fontId="0" fillId="5" borderId="1" xfId="0" applyFill="1" applyBorder="1"/>
    <xf numFmtId="43" fontId="0" fillId="5" borderId="1" xfId="1" applyFont="1" applyFill="1" applyBorder="1"/>
    <xf numFmtId="0" fontId="13" fillId="0" borderId="1" xfId="0" applyFont="1" applyBorder="1"/>
    <xf numFmtId="0" fontId="0" fillId="0" borderId="0" xfId="0"/>
    <xf numFmtId="2" fontId="0" fillId="7" borderId="1" xfId="0" applyNumberFormat="1" applyFill="1" applyBorder="1"/>
    <xf numFmtId="43" fontId="0" fillId="8" borderId="1" xfId="1" applyFont="1" applyFill="1" applyBorder="1"/>
    <xf numFmtId="0" fontId="15" fillId="0" borderId="0" xfId="0" applyFont="1"/>
    <xf numFmtId="0" fontId="0" fillId="0" borderId="0" xfId="0"/>
    <xf numFmtId="0" fontId="0" fillId="0" borderId="9" xfId="0" applyBorder="1"/>
    <xf numFmtId="0" fontId="3" fillId="0" borderId="7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9" xfId="0" applyFont="1" applyFill="1" applyBorder="1"/>
    <xf numFmtId="0" fontId="0" fillId="2" borderId="8" xfId="0" applyFill="1" applyBorder="1"/>
    <xf numFmtId="0" fontId="0" fillId="2" borderId="2" xfId="0" applyFill="1" applyBorder="1"/>
    <xf numFmtId="0" fontId="10" fillId="0" borderId="1" xfId="0" applyFont="1" applyBorder="1"/>
    <xf numFmtId="9" fontId="0" fillId="0" borderId="1" xfId="0" applyNumberFormat="1" applyBorder="1" applyAlignment="1">
      <alignment horizontal="left"/>
    </xf>
    <xf numFmtId="9" fontId="0" fillId="0" borderId="1" xfId="0" quotePrefix="1" applyNumberForma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43" fontId="14" fillId="6" borderId="1" xfId="0" applyNumberFormat="1" applyFont="1" applyFill="1" applyBorder="1"/>
    <xf numFmtId="0" fontId="0" fillId="9" borderId="1" xfId="0" applyFill="1" applyBorder="1"/>
    <xf numFmtId="10" fontId="0" fillId="9" borderId="1" xfId="2" applyNumberFormat="1" applyFont="1" applyFill="1" applyBorder="1"/>
    <xf numFmtId="10" fontId="0" fillId="9" borderId="1" xfId="0" applyNumberFormat="1" applyFill="1" applyBorder="1"/>
    <xf numFmtId="43" fontId="10" fillId="10" borderId="1" xfId="1" applyFont="1" applyFill="1" applyBorder="1"/>
    <xf numFmtId="0" fontId="0" fillId="10" borderId="1" xfId="0" applyFill="1" applyBorder="1"/>
    <xf numFmtId="43" fontId="0" fillId="10" borderId="1" xfId="1" applyFont="1" applyFill="1" applyBorder="1"/>
    <xf numFmtId="43" fontId="10" fillId="11" borderId="1" xfId="1" applyFont="1" applyFill="1" applyBorder="1" applyAlignment="1">
      <alignment horizontal="right"/>
    </xf>
    <xf numFmtId="43" fontId="0" fillId="11" borderId="1" xfId="1" applyFont="1" applyFill="1" applyBorder="1"/>
    <xf numFmtId="0" fontId="0" fillId="11" borderId="1" xfId="0" applyFill="1" applyBorder="1" applyAlignment="1">
      <alignment horizontal="right"/>
    </xf>
    <xf numFmtId="0" fontId="0" fillId="11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3" fillId="3" borderId="2" xfId="0" applyFont="1" applyFill="1" applyBorder="1"/>
    <xf numFmtId="17" fontId="0" fillId="0" borderId="1" xfId="0" applyNumberFormat="1" applyBorder="1"/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0" fillId="0" borderId="1" xfId="1" applyFont="1" applyBorder="1" applyAlignment="1">
      <alignment horizontal="right"/>
    </xf>
    <xf numFmtId="43" fontId="0" fillId="0" borderId="1" xfId="0" applyNumberFormat="1" applyBorder="1"/>
  </cellXfs>
  <cellStyles count="3">
    <cellStyle name="Navadno" xfId="0" builtinId="0"/>
    <cellStyle name="Odstotek" xfId="2" builtinId="5"/>
    <cellStyle name="Vejica" xfId="1" builtinId="3"/>
  </cellStyles>
  <dxfs count="0"/>
  <tableStyles count="0" defaultTableStyle="TableStyleMedium2" defaultPivotStyle="PivotStyleLight16"/>
  <colors>
    <mruColors>
      <color rgb="FFF5B88F"/>
      <color rgb="FFE3F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pxweb.stat.si/SiStatData/pxweb/sl/Data/Data/H285S.px/table/tableViewLayout2/" TargetMode="External"/><Relationship Id="rId2" Type="http://schemas.openxmlformats.org/officeDocument/2006/relationships/hyperlink" Target="https://pxweb.stat.si/SiStatData/pxweb/sl/Data/Data/0701054S.px/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1202530</xdr:colOff>
      <xdr:row>15</xdr:row>
      <xdr:rowOff>107156</xdr:rowOff>
    </xdr:from>
    <xdr:to>
      <xdr:col>10</xdr:col>
      <xdr:colOff>47625</xdr:colOff>
      <xdr:row>18</xdr:row>
      <xdr:rowOff>83344</xdr:rowOff>
    </xdr:to>
    <xdr:cxnSp macro="">
      <xdr:nvCxnSpPr>
        <xdr:cNvPr id="15" name="Raven puščični povezovalnik 14">
          <a:extLst>
            <a:ext uri="{FF2B5EF4-FFF2-40B4-BE49-F238E27FC236}">
              <a16:creationId xmlns:a16="http://schemas.microsoft.com/office/drawing/2014/main" id="{153E9DEC-B941-43D5-8C5C-037ACE9B8EE8}"/>
            </a:ext>
          </a:extLst>
        </xdr:cNvPr>
        <xdr:cNvCxnSpPr/>
      </xdr:nvCxnSpPr>
      <xdr:spPr>
        <a:xfrm flipH="1" flipV="1">
          <a:off x="13525499" y="1821656"/>
          <a:ext cx="654845" cy="5476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</xdr:colOff>
      <xdr:row>18</xdr:row>
      <xdr:rowOff>69056</xdr:rowOff>
    </xdr:from>
    <xdr:to>
      <xdr:col>14</xdr:col>
      <xdr:colOff>457200</xdr:colOff>
      <xdr:row>19</xdr:row>
      <xdr:rowOff>0</xdr:rowOff>
    </xdr:to>
    <xdr:cxnSp macro="">
      <xdr:nvCxnSpPr>
        <xdr:cNvPr id="17" name="Raven puščični povezovalnik 16">
          <a:extLst>
            <a:ext uri="{FF2B5EF4-FFF2-40B4-BE49-F238E27FC236}">
              <a16:creationId xmlns:a16="http://schemas.microsoft.com/office/drawing/2014/main" id="{AAD0C79B-D115-4D0C-B2AD-C89F329696B4}"/>
            </a:ext>
          </a:extLst>
        </xdr:cNvPr>
        <xdr:cNvCxnSpPr/>
      </xdr:nvCxnSpPr>
      <xdr:spPr>
        <a:xfrm>
          <a:off x="14168437" y="3498056"/>
          <a:ext cx="2909888" cy="12144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933450</xdr:colOff>
      <xdr:row>5</xdr:row>
      <xdr:rowOff>95250</xdr:rowOff>
    </xdr:to>
    <xdr:sp macro="" textlink="">
      <xdr:nvSpPr>
        <xdr:cNvPr id="37" name="PoljeZBesedilom 36">
          <a:extLst>
            <a:ext uri="{FF2B5EF4-FFF2-40B4-BE49-F238E27FC236}">
              <a16:creationId xmlns:a16="http://schemas.microsoft.com/office/drawing/2014/main" id="{AAC69ABE-7B4F-4BBF-9EE4-A21407435A29}"/>
            </a:ext>
          </a:extLst>
        </xdr:cNvPr>
        <xdr:cNvSpPr txBox="1"/>
      </xdr:nvSpPr>
      <xdr:spPr>
        <a:xfrm>
          <a:off x="0" y="0"/>
          <a:ext cx="76866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b="1">
              <a:solidFill>
                <a:srgbClr val="FF0000"/>
              </a:solidFill>
            </a:rPr>
            <a:t>PRIMER OBRAČUN ODPRAVNINE IZ POSLOVNEGA RAZLOGA ALI NESPOSOBNOSTI</a:t>
          </a:r>
        </a:p>
        <a:p>
          <a:r>
            <a:rPr lang="sl-SI"/>
            <a:t>1. naloga: Uroš je zaposlen v podjetju Zguba d.o.o. Ker je podjetje v postopku reorganizacije mu je odpovedalo pogodbo o zaposlitvi iz poslovnega razloga. Uroš je bil zaposlen pri delodajalcu 33let. Njegova povprečna trimesečna plača znaša 2.750 €, njegova zadnja plača pa 2.850 €, povprečna plača zaposlenih v RS znaša 1.753,84 €. Izračunajte koliko odpravnine bo morala družba plačati Urošu. Kakšni so davčni učinki, katere dajatve mora plačati podjetje in katere Uroš? Kakšno je pravilo pri plačilu dohodnine?</a:t>
          </a:r>
          <a:endParaRPr lang="sl-SI" sz="1100"/>
        </a:p>
      </xdr:txBody>
    </xdr:sp>
    <xdr:clientData/>
  </xdr:twoCellAnchor>
  <xdr:twoCellAnchor editAs="oneCell">
    <xdr:from>
      <xdr:col>0</xdr:col>
      <xdr:colOff>1</xdr:colOff>
      <xdr:row>31</xdr:row>
      <xdr:rowOff>0</xdr:rowOff>
    </xdr:from>
    <xdr:to>
      <xdr:col>4</xdr:col>
      <xdr:colOff>523876</xdr:colOff>
      <xdr:row>53</xdr:row>
      <xdr:rowOff>136500</xdr:rowOff>
    </xdr:to>
    <xdr:pic>
      <xdr:nvPicPr>
        <xdr:cNvPr id="39" name="Slika 38">
          <a:extLst>
            <a:ext uri="{FF2B5EF4-FFF2-40B4-BE49-F238E27FC236}">
              <a16:creationId xmlns:a16="http://schemas.microsoft.com/office/drawing/2014/main" id="{E03D2D82-876A-4039-8720-5753163A0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905500"/>
          <a:ext cx="6667500" cy="4327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31751</xdr:colOff>
      <xdr:row>28</xdr:row>
      <xdr:rowOff>95250</xdr:rowOff>
    </xdr:from>
    <xdr:to>
      <xdr:col>13</xdr:col>
      <xdr:colOff>151513</xdr:colOff>
      <xdr:row>35</xdr:row>
      <xdr:rowOff>47464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5DA110ED-A63A-440B-9048-B7D63EC68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34" y="3714750"/>
          <a:ext cx="7104762" cy="1285714"/>
        </a:xfrm>
        <a:prstGeom prst="rect">
          <a:avLst/>
        </a:prstGeom>
      </xdr:spPr>
    </xdr:pic>
    <xdr:clientData/>
  </xdr:twoCellAnchor>
  <xdr:twoCellAnchor>
    <xdr:from>
      <xdr:col>9</xdr:col>
      <xdr:colOff>42334</xdr:colOff>
      <xdr:row>13</xdr:row>
      <xdr:rowOff>84667</xdr:rowOff>
    </xdr:from>
    <xdr:to>
      <xdr:col>11</xdr:col>
      <xdr:colOff>47625</xdr:colOff>
      <xdr:row>19</xdr:row>
      <xdr:rowOff>83344</xdr:rowOff>
    </xdr:to>
    <xdr:cxnSp macro="">
      <xdr:nvCxnSpPr>
        <xdr:cNvPr id="6" name="Raven puščični povezovalnik 5">
          <a:extLst>
            <a:ext uri="{FF2B5EF4-FFF2-40B4-BE49-F238E27FC236}">
              <a16:creationId xmlns:a16="http://schemas.microsoft.com/office/drawing/2014/main" id="{58B0275A-C077-49C9-9B6C-DC99F264BD07}"/>
            </a:ext>
          </a:extLst>
        </xdr:cNvPr>
        <xdr:cNvCxnSpPr/>
      </xdr:nvCxnSpPr>
      <xdr:spPr>
        <a:xfrm flipH="1" flipV="1">
          <a:off x="13483167" y="1037167"/>
          <a:ext cx="1232958" cy="11416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</xdr:colOff>
      <xdr:row>19</xdr:row>
      <xdr:rowOff>69056</xdr:rowOff>
    </xdr:from>
    <xdr:to>
      <xdr:col>15</xdr:col>
      <xdr:colOff>457200</xdr:colOff>
      <xdr:row>20</xdr:row>
      <xdr:rowOff>0</xdr:rowOff>
    </xdr:to>
    <xdr:cxnSp macro="">
      <xdr:nvCxnSpPr>
        <xdr:cNvPr id="7" name="Raven puščični povezovalnik 6">
          <a:extLst>
            <a:ext uri="{FF2B5EF4-FFF2-40B4-BE49-F238E27FC236}">
              <a16:creationId xmlns:a16="http://schemas.microsoft.com/office/drawing/2014/main" id="{F5E025FD-8578-4CE5-8F6A-011F00EBCFD6}"/>
            </a:ext>
          </a:extLst>
        </xdr:cNvPr>
        <xdr:cNvCxnSpPr/>
      </xdr:nvCxnSpPr>
      <xdr:spPr>
        <a:xfrm>
          <a:off x="14349412" y="3498056"/>
          <a:ext cx="2909888" cy="12144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52917</xdr:colOff>
      <xdr:row>0</xdr:row>
      <xdr:rowOff>31749</xdr:rowOff>
    </xdr:from>
    <xdr:to>
      <xdr:col>6</xdr:col>
      <xdr:colOff>529167</xdr:colOff>
      <xdr:row>3</xdr:row>
      <xdr:rowOff>105832</xdr:rowOff>
    </xdr:to>
    <xdr:sp macro="" textlink="">
      <xdr:nvSpPr>
        <xdr:cNvPr id="8" name="PoljeZBesedilom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75CEFD-2364-42DE-84B5-15820F8FD1C5}"/>
            </a:ext>
          </a:extLst>
        </xdr:cNvPr>
        <xdr:cNvSpPr txBox="1"/>
      </xdr:nvSpPr>
      <xdr:spPr>
        <a:xfrm>
          <a:off x="52917" y="31749"/>
          <a:ext cx="9535583" cy="645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/>
            <a:t>2. naloga</a:t>
          </a:r>
          <a:r>
            <a:rPr lang="sl-SI" sz="1100"/>
            <a:t>: 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Miran je zaposlen v podjetju Zmaga d.o.o. Miran se bo upokojil,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zato mu pripada odpravnina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Njegova povprečna dvomesečna plača znaša 2.750 €, njegova zadnja plača pa 2.850 €, povprečna plača zaposlenih v RS znaša (kliknite </a:t>
          </a:r>
          <a:r>
            <a:rPr lang="sl-SI" sz="1100" u="sng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tukaj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(podatke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zapišite v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spodnjo tabelo!). Izračunajte koliko odpravnine bo dobil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 upokojitvi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?</a:t>
          </a:r>
          <a:endParaRPr lang="sl-SI" sz="1100"/>
        </a:p>
      </xdr:txBody>
    </xdr:sp>
    <xdr:clientData/>
  </xdr:twoCellAnchor>
  <xdr:oneCellAnchor>
    <xdr:from>
      <xdr:col>6</xdr:col>
      <xdr:colOff>31751</xdr:colOff>
      <xdr:row>64</xdr:row>
      <xdr:rowOff>95250</xdr:rowOff>
    </xdr:from>
    <xdr:ext cx="7104762" cy="1285714"/>
    <xdr:pic>
      <xdr:nvPicPr>
        <xdr:cNvPr id="9" name="Slika 8">
          <a:extLst>
            <a:ext uri="{FF2B5EF4-FFF2-40B4-BE49-F238E27FC236}">
              <a16:creationId xmlns:a16="http://schemas.microsoft.com/office/drawing/2014/main" id="{55DE9AA8-C202-49D4-B14F-FE1500811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63668" y="5429250"/>
          <a:ext cx="7104762" cy="1285714"/>
        </a:xfrm>
        <a:prstGeom prst="rect">
          <a:avLst/>
        </a:prstGeom>
      </xdr:spPr>
    </xdr:pic>
    <xdr:clientData/>
  </xdr:oneCellAnchor>
  <xdr:twoCellAnchor>
    <xdr:from>
      <xdr:col>9</xdr:col>
      <xdr:colOff>42334</xdr:colOff>
      <xdr:row>49</xdr:row>
      <xdr:rowOff>84667</xdr:rowOff>
    </xdr:from>
    <xdr:to>
      <xdr:col>11</xdr:col>
      <xdr:colOff>47625</xdr:colOff>
      <xdr:row>55</xdr:row>
      <xdr:rowOff>83344</xdr:rowOff>
    </xdr:to>
    <xdr:cxnSp macro="">
      <xdr:nvCxnSpPr>
        <xdr:cNvPr id="10" name="Raven puščični povezovalnik 9">
          <a:extLst>
            <a:ext uri="{FF2B5EF4-FFF2-40B4-BE49-F238E27FC236}">
              <a16:creationId xmlns:a16="http://schemas.microsoft.com/office/drawing/2014/main" id="{1BAA4F76-0AA6-4232-B40B-53C011B69351}"/>
            </a:ext>
          </a:extLst>
        </xdr:cNvPr>
        <xdr:cNvCxnSpPr/>
      </xdr:nvCxnSpPr>
      <xdr:spPr>
        <a:xfrm flipH="1" flipV="1">
          <a:off x="14351001" y="2561167"/>
          <a:ext cx="1232957" cy="11416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</xdr:colOff>
      <xdr:row>55</xdr:row>
      <xdr:rowOff>69056</xdr:rowOff>
    </xdr:from>
    <xdr:to>
      <xdr:col>15</xdr:col>
      <xdr:colOff>457200</xdr:colOff>
      <xdr:row>56</xdr:row>
      <xdr:rowOff>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09BAA17E-2EE3-49E2-BEE2-64141BAD147A}"/>
            </a:ext>
          </a:extLst>
        </xdr:cNvPr>
        <xdr:cNvCxnSpPr/>
      </xdr:nvCxnSpPr>
      <xdr:spPr>
        <a:xfrm>
          <a:off x="15550620" y="3688556"/>
          <a:ext cx="2951163" cy="12144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1</xdr:rowOff>
    </xdr:from>
    <xdr:to>
      <xdr:col>6</xdr:col>
      <xdr:colOff>476250</xdr:colOff>
      <xdr:row>38</xdr:row>
      <xdr:rowOff>158751</xdr:rowOff>
    </xdr:to>
    <xdr:sp macro="" textlink="">
      <xdr:nvSpPr>
        <xdr:cNvPr id="12" name="PoljeZBesedilom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C86104-B51B-4471-AA3B-4DD6BD9E1904}"/>
            </a:ext>
          </a:extLst>
        </xdr:cNvPr>
        <xdr:cNvSpPr txBox="1"/>
      </xdr:nvSpPr>
      <xdr:spPr>
        <a:xfrm>
          <a:off x="0" y="6858001"/>
          <a:ext cx="10308167" cy="53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/>
            <a:t>3. naloga</a:t>
          </a:r>
          <a:r>
            <a:rPr lang="sl-SI" sz="1100"/>
            <a:t>: 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Miran je zaposlen v podjetju Zmaga d.o.o. Miran se bo upokojil,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zato mu pripada odpravnina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Njegova povprečna dvomesečna plača znaša 7.000,00 €, njegova zadnja plača pa 7100 €, povprečna plača zaposlenih v RS znaša (kliknite </a:t>
          </a:r>
          <a:r>
            <a:rPr lang="sl-SI" sz="1100" u="sng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tukaj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(podatke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zapišite v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spodnjo tabelo!). Izračunajte koliko odpravnine bo dobil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 upokojitvi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?</a:t>
          </a:r>
          <a:endParaRPr lang="sl-S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1202530</xdr:colOff>
      <xdr:row>15</xdr:row>
      <xdr:rowOff>107156</xdr:rowOff>
    </xdr:from>
    <xdr:to>
      <xdr:col>10</xdr:col>
      <xdr:colOff>47625</xdr:colOff>
      <xdr:row>18</xdr:row>
      <xdr:rowOff>83344</xdr:rowOff>
    </xdr:to>
    <xdr:cxnSp macro="">
      <xdr:nvCxnSpPr>
        <xdr:cNvPr id="2" name="Raven puščični povezovalnik 1">
          <a:extLst>
            <a:ext uri="{FF2B5EF4-FFF2-40B4-BE49-F238E27FC236}">
              <a16:creationId xmlns:a16="http://schemas.microsoft.com/office/drawing/2014/main" id="{12155EF2-FF2D-4C9E-A0B2-00602B24B08B}"/>
            </a:ext>
          </a:extLst>
        </xdr:cNvPr>
        <xdr:cNvCxnSpPr/>
      </xdr:nvCxnSpPr>
      <xdr:spPr>
        <a:xfrm flipH="1" flipV="1">
          <a:off x="13727905" y="2964656"/>
          <a:ext cx="654845" cy="5476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</xdr:colOff>
      <xdr:row>18</xdr:row>
      <xdr:rowOff>69056</xdr:rowOff>
    </xdr:from>
    <xdr:to>
      <xdr:col>14</xdr:col>
      <xdr:colOff>457200</xdr:colOff>
      <xdr:row>19</xdr:row>
      <xdr:rowOff>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53FA48F2-3A22-4252-8537-05E396C7F610}"/>
            </a:ext>
          </a:extLst>
        </xdr:cNvPr>
        <xdr:cNvCxnSpPr/>
      </xdr:nvCxnSpPr>
      <xdr:spPr>
        <a:xfrm>
          <a:off x="14349412" y="3498056"/>
          <a:ext cx="2909888" cy="12144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933450</xdr:colOff>
      <xdr:row>5</xdr:row>
      <xdr:rowOff>95250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B923EB8D-A9AA-42A9-9DAE-B2B466B0B7C3}"/>
            </a:ext>
          </a:extLst>
        </xdr:cNvPr>
        <xdr:cNvSpPr txBox="1"/>
      </xdr:nvSpPr>
      <xdr:spPr>
        <a:xfrm>
          <a:off x="0" y="0"/>
          <a:ext cx="76866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b="1">
              <a:solidFill>
                <a:srgbClr val="FF0000"/>
              </a:solidFill>
            </a:rPr>
            <a:t>PRIMER OBRAČUN ODPRAVNINE IZ POSLOVNEGA RAZLOGA ALI NESPOSOBNOSTI</a:t>
          </a:r>
        </a:p>
        <a:p>
          <a:r>
            <a:rPr lang="sl-SI"/>
            <a:t>Uroš je zaposlen v podjetju Zguba d.o.o. Ker je podjetje v postopku reorganizacije mu je odpovedalo pogodbo o zaposlitvi iz poslovnega razloga. Uroš je bil zaposlen pri delodajalcu 33let. Njegova povprečna trimesečna plača znaša 2.750 €, njegova zadnja plača pa 2.850 €, povprečna plača zaposlenih v RS znaša 1.753,84 €. Izračunajte koliko odpravnine bo morala družba plačati Urošu. Kakšni so davčni učinki, katere dajatve mora plačati podjetje in katere Uroš? Kakšno je pravilo pri plačilu dohodnine?</a:t>
          </a:r>
          <a:endParaRPr lang="sl-SI" sz="1100"/>
        </a:p>
      </xdr:txBody>
    </xdr:sp>
    <xdr:clientData/>
  </xdr:twoCellAnchor>
  <xdr:twoCellAnchor editAs="oneCell">
    <xdr:from>
      <xdr:col>0</xdr:col>
      <xdr:colOff>1</xdr:colOff>
      <xdr:row>31</xdr:row>
      <xdr:rowOff>0</xdr:rowOff>
    </xdr:from>
    <xdr:to>
      <xdr:col>4</xdr:col>
      <xdr:colOff>523876</xdr:colOff>
      <xdr:row>53</xdr:row>
      <xdr:rowOff>136500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3BE9845-F258-4497-A93B-CD0F26AB9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905500"/>
          <a:ext cx="6667500" cy="432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54C9D-7C3F-496D-8023-9F01C3672B91}">
  <dimension ref="A1:V41"/>
  <sheetViews>
    <sheetView tabSelected="1" topLeftCell="A4" zoomScaleNormal="100" workbookViewId="0">
      <selection activeCell="K17" sqref="K17"/>
    </sheetView>
  </sheetViews>
  <sheetFormatPr defaultRowHeight="15" x14ac:dyDescent="0.25"/>
  <cols>
    <col min="1" max="1" width="49.7109375" customWidth="1"/>
    <col min="2" max="2" width="12" customWidth="1"/>
    <col min="3" max="3" width="15.42578125" customWidth="1"/>
    <col min="4" max="4" width="15" bestFit="1" customWidth="1"/>
    <col min="6" max="6" width="34.7109375" customWidth="1"/>
    <col min="7" max="7" width="41.85546875" customWidth="1"/>
    <col min="8" max="8" width="10" bestFit="1" customWidth="1"/>
    <col min="9" max="9" width="18" customWidth="1"/>
    <col min="11" max="11" width="9.5703125" bestFit="1" customWidth="1"/>
    <col min="12" max="12" width="9.140625" customWidth="1"/>
    <col min="18" max="18" width="12.7109375" customWidth="1"/>
  </cols>
  <sheetData>
    <row r="1" spans="1:11" s="33" customFormat="1" x14ac:dyDescent="0.25"/>
    <row r="2" spans="1:11" s="33" customFormat="1" x14ac:dyDescent="0.25"/>
    <row r="3" spans="1:11" s="33" customFormat="1" x14ac:dyDescent="0.25"/>
    <row r="4" spans="1:11" s="33" customFormat="1" x14ac:dyDescent="0.25"/>
    <row r="5" spans="1:11" s="33" customFormat="1" x14ac:dyDescent="0.25"/>
    <row r="6" spans="1:11" s="33" customFormat="1" x14ac:dyDescent="0.25"/>
    <row r="7" spans="1:11" x14ac:dyDescent="0.25">
      <c r="A7" s="8" t="s">
        <v>25</v>
      </c>
      <c r="B7" s="8"/>
      <c r="C7" s="8"/>
      <c r="D7" s="8"/>
      <c r="G7" t="s">
        <v>5</v>
      </c>
    </row>
    <row r="8" spans="1:11" x14ac:dyDescent="0.25">
      <c r="G8" s="3" t="s">
        <v>30</v>
      </c>
      <c r="H8" s="3" t="s">
        <v>9</v>
      </c>
    </row>
    <row r="9" spans="1:11" x14ac:dyDescent="0.25">
      <c r="A9" s="10" t="s">
        <v>55</v>
      </c>
      <c r="B9" s="8"/>
      <c r="C9" s="8"/>
      <c r="D9" s="8"/>
      <c r="G9" s="1" t="s">
        <v>6</v>
      </c>
      <c r="H9" s="4">
        <v>0.2</v>
      </c>
    </row>
    <row r="10" spans="1:11" x14ac:dyDescent="0.25">
      <c r="G10" s="1" t="s">
        <v>7</v>
      </c>
      <c r="H10" s="4">
        <v>0.25</v>
      </c>
    </row>
    <row r="11" spans="1:11" x14ac:dyDescent="0.25">
      <c r="A11" s="3"/>
      <c r="B11" s="3"/>
      <c r="C11" s="3" t="s">
        <v>3</v>
      </c>
      <c r="G11" s="1" t="s">
        <v>8</v>
      </c>
      <c r="H11" s="5">
        <v>0.33329999999999999</v>
      </c>
    </row>
    <row r="12" spans="1:11" x14ac:dyDescent="0.25">
      <c r="A12" s="26" t="s">
        <v>0</v>
      </c>
      <c r="B12" s="27"/>
      <c r="C12" s="26" t="s">
        <v>28</v>
      </c>
    </row>
    <row r="13" spans="1:11" x14ac:dyDescent="0.25">
      <c r="A13" s="26" t="s">
        <v>29</v>
      </c>
      <c r="B13" s="27"/>
      <c r="C13" s="26" t="s">
        <v>4</v>
      </c>
      <c r="G13" s="3" t="s">
        <v>15</v>
      </c>
      <c r="H13" s="3"/>
      <c r="I13" s="3"/>
    </row>
    <row r="14" spans="1:11" x14ac:dyDescent="0.25">
      <c r="A14" s="26" t="s">
        <v>1</v>
      </c>
      <c r="B14" s="27"/>
      <c r="C14" s="26" t="s">
        <v>28</v>
      </c>
      <c r="G14" s="1" t="s">
        <v>16</v>
      </c>
      <c r="H14" s="1"/>
      <c r="I14" s="2">
        <f>B14</f>
        <v>0</v>
      </c>
      <c r="K14" s="1">
        <v>291.67</v>
      </c>
    </row>
    <row r="15" spans="1:11" x14ac:dyDescent="0.25">
      <c r="A15" s="26" t="s">
        <v>2</v>
      </c>
      <c r="B15" s="27"/>
      <c r="C15" s="26" t="s">
        <v>28</v>
      </c>
      <c r="G15" s="1" t="s">
        <v>17</v>
      </c>
      <c r="H15" s="5">
        <v>0.221</v>
      </c>
      <c r="I15" s="2">
        <f>H15*I14</f>
        <v>0</v>
      </c>
      <c r="K15" s="1">
        <v>1558.37</v>
      </c>
    </row>
    <row r="16" spans="1:11" x14ac:dyDescent="0.25">
      <c r="G16" s="1" t="s">
        <v>18</v>
      </c>
      <c r="H16" s="1"/>
      <c r="I16" s="31">
        <f>IF(AND(K17&gt;=K23,K17&lt;=K24),K18,O24)</f>
        <v>291.67</v>
      </c>
      <c r="K16" s="1">
        <v>1.4042699999999999</v>
      </c>
    </row>
    <row r="17" spans="1:22" x14ac:dyDescent="0.25">
      <c r="A17" s="46" t="s">
        <v>71</v>
      </c>
      <c r="B17" s="1">
        <v>33</v>
      </c>
      <c r="C17" s="2">
        <f>B12</f>
        <v>0</v>
      </c>
      <c r="D17" s="2">
        <f>B17*C17*E17</f>
        <v>0</v>
      </c>
      <c r="E17" s="45">
        <v>0.33</v>
      </c>
      <c r="G17" s="1" t="s">
        <v>56</v>
      </c>
      <c r="H17" s="1">
        <v>0</v>
      </c>
      <c r="I17" s="2">
        <f>VLOOKUP(H17,osebne_olajšave!A10:E21,2)</f>
        <v>9.9999999999999995E-7</v>
      </c>
      <c r="K17" s="49">
        <f>I14</f>
        <v>0</v>
      </c>
      <c r="L17" s="10"/>
      <c r="M17" s="10"/>
      <c r="N17" s="10"/>
      <c r="O17" s="10"/>
      <c r="P17" s="10"/>
      <c r="Q17" s="10"/>
      <c r="R17" s="10"/>
      <c r="S17" s="10"/>
    </row>
    <row r="18" spans="1:22" x14ac:dyDescent="0.25">
      <c r="A18" s="47" t="s">
        <v>73</v>
      </c>
      <c r="B18" s="1">
        <v>10</v>
      </c>
      <c r="C18" s="2">
        <f>C17</f>
        <v>0</v>
      </c>
      <c r="D18" s="6">
        <f>B18*C18</f>
        <v>0</v>
      </c>
      <c r="E18" s="44" t="s">
        <v>69</v>
      </c>
      <c r="G18" s="1" t="s">
        <v>57</v>
      </c>
      <c r="H18" s="1">
        <v>0</v>
      </c>
      <c r="I18" s="2">
        <f>VLOOKUP(H18,osebne_olajšave!A27:B33,2)</f>
        <v>9.9999999999999995E-7</v>
      </c>
      <c r="K18" s="30">
        <f>K14+(K15-K16*K17)</f>
        <v>1850.04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2" x14ac:dyDescent="0.25">
      <c r="A19" s="48" t="s">
        <v>70</v>
      </c>
      <c r="B19" s="1">
        <v>10</v>
      </c>
      <c r="C19" s="2">
        <v>1730</v>
      </c>
      <c r="D19" s="2">
        <f>B19*C19</f>
        <v>17300</v>
      </c>
      <c r="E19" s="1" t="s">
        <v>69</v>
      </c>
      <c r="G19" s="1" t="s">
        <v>58</v>
      </c>
      <c r="H19" s="1">
        <v>0</v>
      </c>
      <c r="I19" s="2">
        <f>VLOOKUP(H19,osebne_olajšave!A37:B43,2)</f>
        <v>9.9999999999999995E-7</v>
      </c>
    </row>
    <row r="20" spans="1:22" x14ac:dyDescent="0.25">
      <c r="A20" s="58" t="s">
        <v>74</v>
      </c>
      <c r="B20" s="59" t="s">
        <v>69</v>
      </c>
      <c r="C20" s="59" t="s">
        <v>75</v>
      </c>
      <c r="D20" s="56">
        <f>D18-D19</f>
        <v>-17300</v>
      </c>
      <c r="E20" s="1" t="s">
        <v>69</v>
      </c>
      <c r="G20" s="1" t="s">
        <v>59</v>
      </c>
      <c r="H20" s="25">
        <v>0</v>
      </c>
      <c r="I20" s="2">
        <f>VLOOKUP(H20,osebne_olajšave!A4:B7,2)</f>
        <v>9.9999999999999995E-7</v>
      </c>
      <c r="K20" s="36" t="s">
        <v>64</v>
      </c>
      <c r="L20" s="37"/>
      <c r="M20" s="37"/>
      <c r="N20" s="38"/>
      <c r="O20" s="36" t="s">
        <v>65</v>
      </c>
      <c r="P20" s="37"/>
      <c r="Q20" s="37"/>
      <c r="R20" s="35"/>
    </row>
    <row r="21" spans="1:22" x14ac:dyDescent="0.25">
      <c r="G21" s="1" t="s">
        <v>60</v>
      </c>
      <c r="H21" s="25">
        <v>0</v>
      </c>
      <c r="I21" s="2">
        <f>VLOOKUP(H21,osebne_olajšave!A47:C48,2)</f>
        <v>9.9999999999999995E-8</v>
      </c>
      <c r="K21" s="39" t="s">
        <v>63</v>
      </c>
      <c r="L21" s="40"/>
      <c r="M21" s="40"/>
      <c r="N21" s="41"/>
      <c r="O21" s="42"/>
      <c r="P21" s="43"/>
      <c r="Q21" s="43"/>
      <c r="R21" s="34"/>
    </row>
    <row r="22" spans="1:22" x14ac:dyDescent="0.25">
      <c r="A22" t="s">
        <v>10</v>
      </c>
      <c r="G22" s="1" t="s">
        <v>24</v>
      </c>
      <c r="H22" s="1"/>
      <c r="I22" s="2">
        <f>I14-(SUM(I15:I21))</f>
        <v>-291.67000410000003</v>
      </c>
      <c r="K22" s="61" t="s">
        <v>66</v>
      </c>
      <c r="L22" s="61"/>
      <c r="M22" s="61" t="s">
        <v>67</v>
      </c>
      <c r="N22" s="61"/>
      <c r="O22" s="61" t="s">
        <v>65</v>
      </c>
      <c r="P22" s="61"/>
      <c r="Q22" s="61"/>
      <c r="R22" s="61"/>
    </row>
    <row r="23" spans="1:22" x14ac:dyDescent="0.25">
      <c r="G23" s="1" t="s">
        <v>19</v>
      </c>
      <c r="H23" s="1">
        <f>1/12</f>
        <v>8.3333333333333329E-2</v>
      </c>
      <c r="I23" s="57">
        <f>H23*D20</f>
        <v>-1441.6666666666665</v>
      </c>
      <c r="K23" s="61">
        <v>930.54</v>
      </c>
      <c r="L23" s="61"/>
      <c r="M23" s="61">
        <v>1109.74</v>
      </c>
      <c r="N23" s="61"/>
      <c r="O23" s="61" t="s">
        <v>68</v>
      </c>
      <c r="P23" s="61"/>
      <c r="Q23" s="61"/>
      <c r="R23" s="61"/>
    </row>
    <row r="24" spans="1:22" x14ac:dyDescent="0.25">
      <c r="A24" s="3" t="s">
        <v>11</v>
      </c>
      <c r="B24" s="2"/>
      <c r="C24" s="1"/>
      <c r="D24" s="2">
        <f>IF(D18&lt;=D19,0.000001,D18)</f>
        <v>9.9999999999999995E-7</v>
      </c>
      <c r="G24" s="1" t="s">
        <v>23</v>
      </c>
      <c r="H24" s="1"/>
      <c r="I24" s="2">
        <f>I23+I22</f>
        <v>-1733.3366707666664</v>
      </c>
      <c r="K24" s="61">
        <f>M23</f>
        <v>1109.74</v>
      </c>
      <c r="L24" s="61"/>
      <c r="M24" s="61"/>
      <c r="N24" s="61"/>
      <c r="O24" s="60">
        <v>291.67</v>
      </c>
      <c r="P24" s="60"/>
      <c r="Q24" s="60"/>
      <c r="R24" s="60"/>
    </row>
    <row r="25" spans="1:22" x14ac:dyDescent="0.25">
      <c r="A25" s="3" t="s">
        <v>26</v>
      </c>
      <c r="B25" s="57">
        <f>IF(D20&lt;=0,0.0000001,D20)</f>
        <v>9.9999999999999995E-8</v>
      </c>
      <c r="C25" s="5">
        <v>0.221</v>
      </c>
      <c r="D25" s="2">
        <f>B25*C25</f>
        <v>2.2099999999999999E-8</v>
      </c>
      <c r="G25" s="1" t="s">
        <v>21</v>
      </c>
      <c r="H25" s="1"/>
      <c r="I25" s="2" t="e">
        <f>VLOOKUP(I24,dohodninska_lestvica!A9:D13,3)</f>
        <v>#N/A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x14ac:dyDescent="0.25">
      <c r="A26" s="3" t="s">
        <v>27</v>
      </c>
      <c r="B26" s="2">
        <f>B25-D25</f>
        <v>7.7900000000000003E-8</v>
      </c>
      <c r="C26" s="52" t="e">
        <f>H28</f>
        <v>#N/A</v>
      </c>
      <c r="D26" s="2" t="e">
        <f>B26*C26</f>
        <v>#N/A</v>
      </c>
      <c r="G26" s="1" t="s">
        <v>22</v>
      </c>
      <c r="H26" s="1"/>
      <c r="I26" s="2" t="e">
        <f>VLOOKUP(I24,dohodninska_lestvica!A9:D13,4)*(I24-VLOOKUP(I24,dohodninska_lestvica!A9:D13,1))</f>
        <v>#N/A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x14ac:dyDescent="0.25">
      <c r="A27" s="54" t="s">
        <v>12</v>
      </c>
      <c r="B27" s="55"/>
      <c r="C27" s="54"/>
      <c r="D27" s="53" t="e">
        <f>D24-D25-D26</f>
        <v>#N/A</v>
      </c>
      <c r="G27" s="1" t="s">
        <v>20</v>
      </c>
      <c r="H27" s="1"/>
      <c r="I27" s="2" t="e">
        <f>I25+I26</f>
        <v>#N/A</v>
      </c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x14ac:dyDescent="0.25">
      <c r="A28" s="3" t="s">
        <v>13</v>
      </c>
      <c r="B28" s="2">
        <f>B25</f>
        <v>9.9999999999999995E-8</v>
      </c>
      <c r="C28" s="5">
        <v>0.161</v>
      </c>
      <c r="D28" s="2">
        <f>B28*C28</f>
        <v>1.6099999999999999E-8</v>
      </c>
      <c r="G28" s="50" t="s">
        <v>72</v>
      </c>
      <c r="H28" s="51" t="e">
        <f>I27/I24</f>
        <v>#N/A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x14ac:dyDescent="0.25">
      <c r="A29" s="3" t="s">
        <v>14</v>
      </c>
      <c r="B29" s="7"/>
      <c r="C29" s="3"/>
      <c r="D29" s="7">
        <f>D24+D28</f>
        <v>1.0160999999999999E-6</v>
      </c>
      <c r="F29" s="10"/>
      <c r="G29" s="8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x14ac:dyDescent="0.25">
      <c r="G30" s="23"/>
    </row>
    <row r="40" spans="5:7" x14ac:dyDescent="0.25">
      <c r="E40" s="10"/>
      <c r="F40" s="10"/>
      <c r="G40" s="8"/>
    </row>
    <row r="41" spans="5:7" x14ac:dyDescent="0.25">
      <c r="G41" s="23"/>
    </row>
  </sheetData>
  <mergeCells count="9">
    <mergeCell ref="O24:R24"/>
    <mergeCell ref="K22:L22"/>
    <mergeCell ref="M22:N22"/>
    <mergeCell ref="K23:L23"/>
    <mergeCell ref="M23:N23"/>
    <mergeCell ref="K24:L24"/>
    <mergeCell ref="M24:N24"/>
    <mergeCell ref="O22:R22"/>
    <mergeCell ref="O23:R2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7D9AB-36A9-4F54-8F0A-61ACB01BB7DD}">
  <dimension ref="A1:V72"/>
  <sheetViews>
    <sheetView zoomScale="90" zoomScaleNormal="90" workbookViewId="0">
      <selection activeCell="D6" sqref="D6:D7"/>
    </sheetView>
  </sheetViews>
  <sheetFormatPr defaultRowHeight="15" x14ac:dyDescent="0.25"/>
  <cols>
    <col min="1" max="1" width="47.85546875" customWidth="1"/>
    <col min="2" max="2" width="13.42578125" customWidth="1"/>
    <col min="3" max="3" width="15.7109375" customWidth="1"/>
    <col min="4" max="4" width="26.28515625" customWidth="1"/>
    <col min="6" max="6" width="34.7109375" customWidth="1"/>
    <col min="7" max="7" width="39.140625" customWidth="1"/>
    <col min="8" max="8" width="10" bestFit="1" customWidth="1"/>
    <col min="9" max="9" width="18" customWidth="1"/>
    <col min="12" max="12" width="10" bestFit="1" customWidth="1"/>
    <col min="19" max="19" width="10.5703125" customWidth="1"/>
  </cols>
  <sheetData>
    <row r="1" spans="1:22" s="33" customFormat="1" x14ac:dyDescent="0.25"/>
    <row r="2" spans="1:22" s="33" customFormat="1" x14ac:dyDescent="0.25"/>
    <row r="3" spans="1:22" s="33" customFormat="1" x14ac:dyDescent="0.25"/>
    <row r="4" spans="1:22" s="33" customFormat="1" x14ac:dyDescent="0.25"/>
    <row r="5" spans="1:22" s="33" customFormat="1" x14ac:dyDescent="0.25">
      <c r="A5" s="3" t="s">
        <v>78</v>
      </c>
      <c r="B5" s="3" t="s">
        <v>77</v>
      </c>
      <c r="C5" s="1" t="s">
        <v>79</v>
      </c>
      <c r="D5" s="3" t="s">
        <v>82</v>
      </c>
    </row>
    <row r="6" spans="1:22" s="33" customFormat="1" x14ac:dyDescent="0.25">
      <c r="A6" s="1">
        <v>1</v>
      </c>
      <c r="B6" s="63">
        <v>44013</v>
      </c>
      <c r="C6" s="64">
        <v>2</v>
      </c>
      <c r="D6" s="2"/>
    </row>
    <row r="7" spans="1:22" s="33" customFormat="1" x14ac:dyDescent="0.25">
      <c r="A7" s="1">
        <v>2</v>
      </c>
      <c r="B7" s="63">
        <v>44044</v>
      </c>
      <c r="C7" s="65"/>
      <c r="D7" s="2"/>
    </row>
    <row r="8" spans="1:22" s="33" customFormat="1" x14ac:dyDescent="0.25">
      <c r="A8" s="1" t="s">
        <v>80</v>
      </c>
      <c r="B8" s="1" t="s">
        <v>81</v>
      </c>
      <c r="C8" s="66"/>
      <c r="D8" s="2">
        <f>SUM(D6:D7)/C6</f>
        <v>0</v>
      </c>
    </row>
    <row r="9" spans="1:22" s="29" customFormat="1" x14ac:dyDescent="0.25">
      <c r="G9" s="10" t="s">
        <v>55</v>
      </c>
      <c r="H9" s="10"/>
      <c r="I9" s="10"/>
    </row>
    <row r="10" spans="1:22" x14ac:dyDescent="0.25">
      <c r="A10" s="8" t="s">
        <v>52</v>
      </c>
      <c r="B10" s="8"/>
      <c r="C10" s="8"/>
      <c r="D10" s="8"/>
    </row>
    <row r="11" spans="1:22" x14ac:dyDescent="0.25">
      <c r="G11" s="3" t="s">
        <v>15</v>
      </c>
      <c r="H11" s="3"/>
      <c r="I11" s="3"/>
      <c r="J11" s="33"/>
      <c r="K11" s="33"/>
      <c r="L11" s="33"/>
      <c r="M11" s="33"/>
    </row>
    <row r="12" spans="1:22" x14ac:dyDescent="0.25">
      <c r="A12" s="10" t="s">
        <v>55</v>
      </c>
      <c r="B12" s="8"/>
      <c r="C12" s="8"/>
      <c r="D12" s="8"/>
      <c r="G12" s="26" t="s">
        <v>16</v>
      </c>
      <c r="H12" s="26" t="s">
        <v>62</v>
      </c>
      <c r="I12" s="27"/>
      <c r="J12" s="33"/>
      <c r="K12" s="33"/>
      <c r="L12" s="33"/>
      <c r="M12" s="33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5">
      <c r="G13" s="1" t="s">
        <v>17</v>
      </c>
      <c r="H13" s="5">
        <v>0.221</v>
      </c>
      <c r="I13" s="2">
        <f>H13*I12</f>
        <v>0</v>
      </c>
      <c r="J13" s="33"/>
      <c r="K13" s="33"/>
      <c r="L13" s="33"/>
      <c r="M13" s="33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5">
      <c r="A14" s="3"/>
      <c r="B14" s="3"/>
      <c r="C14" s="3" t="s">
        <v>3</v>
      </c>
      <c r="G14" s="1" t="s">
        <v>18</v>
      </c>
      <c r="H14" s="1"/>
      <c r="I14" s="31">
        <f>IF(AND(L18&gt;=L24,L18&lt;=L25),L19,P25)</f>
        <v>291.67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29"/>
      <c r="U14" s="29"/>
      <c r="V14" s="29"/>
    </row>
    <row r="15" spans="1:22" x14ac:dyDescent="0.25">
      <c r="A15" s="26" t="s">
        <v>34</v>
      </c>
      <c r="B15" s="27"/>
      <c r="C15" s="26" t="s">
        <v>28</v>
      </c>
      <c r="G15" s="1" t="s">
        <v>56</v>
      </c>
      <c r="H15" s="1">
        <v>0</v>
      </c>
      <c r="I15" s="2">
        <f>VLOOKUP(H15,osebne_olajšave!A5:E16,2)</f>
        <v>9.9999999999999995E-7</v>
      </c>
      <c r="J15" s="33"/>
      <c r="K15" s="33"/>
      <c r="L15" s="1">
        <v>291.67</v>
      </c>
      <c r="M15" s="33"/>
      <c r="N15" s="33"/>
      <c r="O15" s="33"/>
      <c r="P15" s="33"/>
      <c r="Q15" s="33"/>
      <c r="R15" s="33"/>
      <c r="S15" s="33"/>
      <c r="T15" s="29"/>
      <c r="U15" s="29"/>
      <c r="V15" s="29"/>
    </row>
    <row r="16" spans="1:22" x14ac:dyDescent="0.25">
      <c r="A16" s="26" t="s">
        <v>76</v>
      </c>
      <c r="B16" s="27"/>
      <c r="C16" s="26" t="s">
        <v>28</v>
      </c>
      <c r="G16" s="1" t="s">
        <v>57</v>
      </c>
      <c r="H16" s="1">
        <v>0</v>
      </c>
      <c r="I16" s="2">
        <f>VLOOKUP(H16,osebne_olajšave!A22:B28,2)</f>
        <v>9.9999999999999995E-7</v>
      </c>
      <c r="J16" s="33"/>
      <c r="K16" s="33"/>
      <c r="L16" s="1">
        <v>1558.37</v>
      </c>
      <c r="M16" s="33"/>
      <c r="N16" s="33"/>
      <c r="O16" s="33"/>
      <c r="P16" s="33"/>
      <c r="Q16" s="33"/>
      <c r="R16" s="33"/>
      <c r="S16" s="33"/>
      <c r="T16" s="29"/>
      <c r="U16" s="29"/>
      <c r="V16" s="29"/>
    </row>
    <row r="17" spans="1:22" x14ac:dyDescent="0.25">
      <c r="G17" s="1" t="s">
        <v>58</v>
      </c>
      <c r="H17" s="1">
        <v>0</v>
      </c>
      <c r="I17" s="2">
        <f>VLOOKUP(H17,osebne_olajšave!A32:B38,2)</f>
        <v>9.9999999999999995E-7</v>
      </c>
      <c r="J17" s="33"/>
      <c r="K17" s="33"/>
      <c r="L17" s="1">
        <v>1.4042699999999999</v>
      </c>
      <c r="M17" s="33"/>
      <c r="N17" s="33"/>
      <c r="O17" s="33"/>
      <c r="P17" s="33"/>
      <c r="Q17" s="33"/>
      <c r="R17" s="33"/>
      <c r="S17" s="33"/>
      <c r="T17" s="32"/>
      <c r="U17" s="32"/>
      <c r="V17" s="29"/>
    </row>
    <row r="18" spans="1:22" x14ac:dyDescent="0.25">
      <c r="G18" s="1" t="s">
        <v>59</v>
      </c>
      <c r="H18" s="25">
        <v>0</v>
      </c>
      <c r="I18" s="2">
        <f>VLOOKUP(H18,osebne_olajšave!A4:C7,2)</f>
        <v>9.9999999999999995E-7</v>
      </c>
      <c r="J18" s="33"/>
      <c r="K18" s="33"/>
      <c r="L18" s="49">
        <f>I12</f>
        <v>0</v>
      </c>
      <c r="M18" s="10"/>
      <c r="N18" s="10"/>
      <c r="O18" s="10"/>
      <c r="P18" s="10"/>
      <c r="Q18" s="10"/>
      <c r="R18" s="10"/>
      <c r="S18" s="10"/>
      <c r="T18" s="29"/>
      <c r="U18" s="29"/>
      <c r="V18" s="29"/>
    </row>
    <row r="19" spans="1:22" x14ac:dyDescent="0.25">
      <c r="A19" s="4" t="s">
        <v>33</v>
      </c>
      <c r="B19" s="1"/>
      <c r="C19" s="6">
        <v>2750</v>
      </c>
      <c r="D19" s="10" t="s">
        <v>53</v>
      </c>
      <c r="E19" s="10"/>
      <c r="F19" s="10"/>
      <c r="G19" s="1" t="s">
        <v>60</v>
      </c>
      <c r="H19" s="25">
        <v>0</v>
      </c>
      <c r="I19" s="2">
        <f>VLOOKUP(H19,osebne_olajšave!A47:B48,2)</f>
        <v>9.9999999999999995E-8</v>
      </c>
      <c r="J19" s="33"/>
      <c r="K19" s="33"/>
      <c r="L19" s="30">
        <f>L15+(L16-L17*L18)</f>
        <v>1850.04</v>
      </c>
      <c r="M19" s="32"/>
      <c r="N19" s="32"/>
      <c r="O19" s="32"/>
      <c r="P19" s="32"/>
      <c r="Q19" s="32"/>
      <c r="R19" s="32"/>
      <c r="S19" s="32"/>
      <c r="T19" s="29"/>
      <c r="U19" s="29"/>
      <c r="V19" s="29"/>
    </row>
    <row r="20" spans="1:22" x14ac:dyDescent="0.25">
      <c r="A20" s="1" t="s">
        <v>32</v>
      </c>
      <c r="B20" s="1"/>
      <c r="C20" s="2">
        <f>D8</f>
        <v>0</v>
      </c>
      <c r="G20" s="1" t="s">
        <v>24</v>
      </c>
      <c r="H20" s="1"/>
      <c r="I20" s="2">
        <f>I12-(SUM(I13:I19))</f>
        <v>-291.67000410000003</v>
      </c>
      <c r="K20" s="29"/>
      <c r="L20" s="33"/>
      <c r="M20" s="33"/>
      <c r="N20" s="33"/>
      <c r="O20" s="33"/>
      <c r="P20" s="33"/>
      <c r="Q20" s="33"/>
      <c r="R20" s="33"/>
      <c r="S20" s="33"/>
      <c r="T20" s="29"/>
      <c r="U20" s="29"/>
      <c r="V20" s="29"/>
    </row>
    <row r="21" spans="1:22" x14ac:dyDescent="0.25">
      <c r="A21" s="1" t="s">
        <v>31</v>
      </c>
      <c r="B21" s="1"/>
      <c r="C21" s="2">
        <v>4063</v>
      </c>
      <c r="G21" s="1" t="s">
        <v>19</v>
      </c>
      <c r="H21" s="1">
        <f>1/12</f>
        <v>8.3333333333333329E-2</v>
      </c>
      <c r="I21" s="67" t="str">
        <f>C22</f>
        <v>0,00</v>
      </c>
      <c r="K21" s="29"/>
      <c r="L21" s="36" t="s">
        <v>64</v>
      </c>
      <c r="M21" s="37"/>
      <c r="N21" s="37"/>
      <c r="O21" s="38"/>
      <c r="P21" s="36" t="s">
        <v>65</v>
      </c>
      <c r="Q21" s="37"/>
      <c r="R21" s="37"/>
      <c r="S21" s="35"/>
      <c r="T21" s="29"/>
      <c r="U21" s="29"/>
      <c r="V21" s="29"/>
    </row>
    <row r="22" spans="1:22" x14ac:dyDescent="0.25">
      <c r="A22" s="25" t="s">
        <v>35</v>
      </c>
      <c r="B22" s="1"/>
      <c r="C22" s="67" t="str">
        <f>IF(C19&lt;=C21,"0,00",C19-C21)</f>
        <v>0,00</v>
      </c>
      <c r="G22" s="1" t="s">
        <v>23</v>
      </c>
      <c r="H22" s="1"/>
      <c r="I22" s="67" t="str">
        <f>IF(I21&gt;0,C22,0)</f>
        <v>0,00</v>
      </c>
      <c r="K22" s="29"/>
      <c r="L22" s="39" t="s">
        <v>63</v>
      </c>
      <c r="M22" s="40"/>
      <c r="N22" s="40"/>
      <c r="O22" s="41"/>
      <c r="P22" s="42"/>
      <c r="Q22" s="43"/>
      <c r="R22" s="43"/>
      <c r="S22" s="34"/>
      <c r="T22" s="29"/>
      <c r="U22" s="29"/>
      <c r="V22" s="29"/>
    </row>
    <row r="23" spans="1:22" x14ac:dyDescent="0.25">
      <c r="G23" s="1" t="s">
        <v>21</v>
      </c>
      <c r="H23" s="1"/>
      <c r="I23" s="2" t="e">
        <f>VLOOKUP(upokojitvi!I22,dohodninska_lestvica!A9:C13,3)</f>
        <v>#N/A</v>
      </c>
      <c r="K23" s="29"/>
      <c r="L23" s="61" t="s">
        <v>66</v>
      </c>
      <c r="M23" s="61"/>
      <c r="N23" s="61" t="s">
        <v>67</v>
      </c>
      <c r="O23" s="61"/>
      <c r="P23" s="61" t="s">
        <v>65</v>
      </c>
      <c r="Q23" s="61"/>
      <c r="R23" s="61"/>
      <c r="S23" s="61"/>
      <c r="T23" s="29"/>
      <c r="U23" s="29"/>
      <c r="V23" s="29"/>
    </row>
    <row r="24" spans="1:22" x14ac:dyDescent="0.25">
      <c r="A24" t="s">
        <v>10</v>
      </c>
      <c r="G24" s="1" t="s">
        <v>22</v>
      </c>
      <c r="H24" s="1"/>
      <c r="I24" s="2" t="e">
        <f>VLOOKUP(I22,dohodninska_lestvica!A9:D13,4)*(I22-VLOOKUP(I22,dohodninska_lestvica!A9:D13,1))</f>
        <v>#N/A</v>
      </c>
      <c r="K24" s="29"/>
      <c r="L24" s="61">
        <v>930.54</v>
      </c>
      <c r="M24" s="61"/>
      <c r="N24" s="61">
        <v>1109.74</v>
      </c>
      <c r="O24" s="61"/>
      <c r="P24" s="61" t="s">
        <v>68</v>
      </c>
      <c r="Q24" s="61"/>
      <c r="R24" s="61"/>
      <c r="S24" s="61"/>
      <c r="T24" s="29"/>
      <c r="U24" s="29"/>
      <c r="V24" s="29"/>
    </row>
    <row r="25" spans="1:22" x14ac:dyDescent="0.25">
      <c r="G25" s="1" t="s">
        <v>20</v>
      </c>
      <c r="H25" s="1"/>
      <c r="I25" s="2" t="e">
        <f>SUM(I23:I24)</f>
        <v>#N/A</v>
      </c>
      <c r="K25" s="29"/>
      <c r="L25" s="61">
        <f>N24</f>
        <v>1109.74</v>
      </c>
      <c r="M25" s="61"/>
      <c r="N25" s="61"/>
      <c r="O25" s="61"/>
      <c r="P25" s="60">
        <v>291.67</v>
      </c>
      <c r="Q25" s="60"/>
      <c r="R25" s="60"/>
      <c r="S25" s="60"/>
      <c r="T25" s="29"/>
      <c r="U25" s="29"/>
      <c r="V25" s="29"/>
    </row>
    <row r="26" spans="1:22" x14ac:dyDescent="0.25">
      <c r="A26" s="3" t="s">
        <v>11</v>
      </c>
      <c r="B26" s="2"/>
      <c r="C26" s="1"/>
      <c r="D26" s="2">
        <f>IF(C19&lt;=C21,0.0000001,C19)</f>
        <v>9.9999999999999995E-8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25">
      <c r="A27" s="3" t="s">
        <v>26</v>
      </c>
      <c r="B27" s="2" t="str">
        <f>IF(C22&lt;=0,0.00000001,C22)</f>
        <v>0,00</v>
      </c>
      <c r="C27" s="5">
        <v>0.221</v>
      </c>
      <c r="D27" s="2">
        <f>B27*C27</f>
        <v>0</v>
      </c>
      <c r="G27" s="3" t="s">
        <v>15</v>
      </c>
      <c r="H27" s="9" t="e">
        <f>I25/I22</f>
        <v>#N/A</v>
      </c>
    </row>
    <row r="28" spans="1:22" x14ac:dyDescent="0.25">
      <c r="A28" s="3" t="s">
        <v>27</v>
      </c>
      <c r="B28" s="2">
        <f>B27-D27</f>
        <v>0</v>
      </c>
      <c r="C28" s="5" t="e">
        <f>H27</f>
        <v>#N/A</v>
      </c>
      <c r="D28" s="2" t="e">
        <f>B28*C28</f>
        <v>#N/A</v>
      </c>
    </row>
    <row r="29" spans="1:22" x14ac:dyDescent="0.25">
      <c r="A29" s="3" t="s">
        <v>12</v>
      </c>
      <c r="B29" s="2"/>
      <c r="C29" s="1"/>
      <c r="D29" s="6" t="e">
        <f>D26-D27-D28</f>
        <v>#N/A</v>
      </c>
      <c r="E29" s="10"/>
      <c r="F29" s="10"/>
    </row>
    <row r="30" spans="1:22" x14ac:dyDescent="0.25">
      <c r="A30" s="3" t="s">
        <v>13</v>
      </c>
      <c r="B30" s="2" t="str">
        <f>B27</f>
        <v>0,00</v>
      </c>
      <c r="C30" s="5">
        <v>0.161</v>
      </c>
      <c r="D30" s="2">
        <f>B30*C30</f>
        <v>0</v>
      </c>
    </row>
    <row r="31" spans="1:22" x14ac:dyDescent="0.25">
      <c r="A31" s="3" t="s">
        <v>14</v>
      </c>
      <c r="B31" s="7"/>
      <c r="C31" s="3"/>
      <c r="D31" s="7">
        <f>D26+D30</f>
        <v>9.9999999999999995E-8</v>
      </c>
    </row>
    <row r="41" spans="1:20" x14ac:dyDescent="0.25">
      <c r="A41" s="3" t="s">
        <v>78</v>
      </c>
      <c r="B41" s="3" t="s">
        <v>77</v>
      </c>
      <c r="C41" s="1" t="s">
        <v>79</v>
      </c>
      <c r="D41" s="3" t="s">
        <v>82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  <row r="42" spans="1:20" x14ac:dyDescent="0.25">
      <c r="A42" s="1">
        <v>1</v>
      </c>
      <c r="B42" s="63">
        <v>44013</v>
      </c>
      <c r="C42" s="64">
        <v>2</v>
      </c>
      <c r="D42" s="68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 x14ac:dyDescent="0.25">
      <c r="A43" s="1">
        <v>2</v>
      </c>
      <c r="B43" s="63">
        <v>44044</v>
      </c>
      <c r="C43" s="65"/>
      <c r="D43" s="68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 x14ac:dyDescent="0.25">
      <c r="A44" s="1" t="s">
        <v>80</v>
      </c>
      <c r="B44" s="1" t="s">
        <v>81</v>
      </c>
      <c r="C44" s="66"/>
      <c r="D44" s="1">
        <f>SUM(D42:D43)/C42</f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x14ac:dyDescent="0.25">
      <c r="A45" s="33"/>
      <c r="B45" s="33"/>
      <c r="C45" s="33"/>
      <c r="D45" s="33"/>
      <c r="E45" s="33"/>
      <c r="G45" s="10" t="s">
        <v>55</v>
      </c>
      <c r="H45" s="10"/>
      <c r="I45" s="10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x14ac:dyDescent="0.25">
      <c r="A46" s="8" t="s">
        <v>52</v>
      </c>
      <c r="B46" s="8"/>
      <c r="C46" s="8"/>
      <c r="D46" s="8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x14ac:dyDescent="0.25">
      <c r="A47" s="33"/>
      <c r="B47" s="33"/>
      <c r="C47" s="33"/>
      <c r="D47" s="33"/>
      <c r="E47" s="33"/>
      <c r="F47" s="33"/>
      <c r="G47" s="3" t="s">
        <v>15</v>
      </c>
      <c r="H47" s="3"/>
      <c r="I47" s="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x14ac:dyDescent="0.25">
      <c r="A48" s="10" t="s">
        <v>55</v>
      </c>
      <c r="B48" s="8"/>
      <c r="C48" s="8"/>
      <c r="D48" s="8"/>
      <c r="E48" s="33"/>
      <c r="F48" s="33"/>
      <c r="G48" s="26" t="s">
        <v>16</v>
      </c>
      <c r="H48" s="26" t="s">
        <v>62</v>
      </c>
      <c r="I48" s="27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x14ac:dyDescent="0.25">
      <c r="A49" s="33"/>
      <c r="B49" s="33"/>
      <c r="C49" s="33"/>
      <c r="D49" s="33"/>
      <c r="E49" s="33"/>
      <c r="F49" s="33"/>
      <c r="G49" s="1" t="s">
        <v>17</v>
      </c>
      <c r="H49" s="5">
        <v>0.221</v>
      </c>
      <c r="I49" s="2">
        <f>H49*I48</f>
        <v>0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x14ac:dyDescent="0.25">
      <c r="A50" s="3"/>
      <c r="B50" s="3"/>
      <c r="C50" s="3" t="s">
        <v>3</v>
      </c>
      <c r="D50" s="33"/>
      <c r="E50" s="33"/>
      <c r="F50" s="33"/>
      <c r="G50" s="1" t="s">
        <v>18</v>
      </c>
      <c r="H50" s="1"/>
      <c r="I50" s="31">
        <f>IF(AND(L54&gt;=L60,L54&lt;=L61),L55,P61)</f>
        <v>291.67</v>
      </c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x14ac:dyDescent="0.25">
      <c r="A51" s="26" t="s">
        <v>34</v>
      </c>
      <c r="B51" s="27"/>
      <c r="C51" s="26" t="s">
        <v>28</v>
      </c>
      <c r="D51" s="33"/>
      <c r="E51" s="33"/>
      <c r="F51" s="33"/>
      <c r="G51" s="1" t="s">
        <v>56</v>
      </c>
      <c r="H51" s="1">
        <v>0</v>
      </c>
      <c r="I51" s="2">
        <f>VLOOKUP(H51,osebne_olajšave!A45:E56,2)</f>
        <v>9.9999999999999995E-8</v>
      </c>
      <c r="J51" s="33"/>
      <c r="K51" s="33"/>
      <c r="L51" s="1">
        <v>291.67</v>
      </c>
      <c r="M51" s="33"/>
      <c r="N51" s="33"/>
      <c r="O51" s="33"/>
      <c r="P51" s="33"/>
      <c r="Q51" s="33"/>
      <c r="R51" s="33"/>
      <c r="S51" s="33"/>
      <c r="T51" s="33"/>
    </row>
    <row r="52" spans="1:20" x14ac:dyDescent="0.25">
      <c r="A52" s="26" t="s">
        <v>76</v>
      </c>
      <c r="B52" s="27">
        <f>B16</f>
        <v>0</v>
      </c>
      <c r="C52" s="26" t="s">
        <v>28</v>
      </c>
      <c r="D52" s="33"/>
      <c r="E52" s="33"/>
      <c r="F52" s="33"/>
      <c r="G52" s="1" t="s">
        <v>57</v>
      </c>
      <c r="H52" s="1">
        <v>0</v>
      </c>
      <c r="I52" s="2">
        <v>0</v>
      </c>
      <c r="J52" s="33"/>
      <c r="K52" s="33"/>
      <c r="L52" s="1">
        <v>1558.37</v>
      </c>
      <c r="M52" s="33"/>
      <c r="N52" s="33"/>
      <c r="O52" s="33"/>
      <c r="P52" s="33"/>
      <c r="Q52" s="33"/>
      <c r="R52" s="33"/>
      <c r="S52" s="33"/>
      <c r="T52" s="33"/>
    </row>
    <row r="53" spans="1:20" x14ac:dyDescent="0.25">
      <c r="A53" s="33"/>
      <c r="B53" s="33"/>
      <c r="C53" s="33"/>
      <c r="D53" s="33"/>
      <c r="E53" s="33"/>
      <c r="F53" s="33"/>
      <c r="G53" s="1" t="s">
        <v>58</v>
      </c>
      <c r="H53" s="1">
        <v>0</v>
      </c>
      <c r="I53" s="2">
        <v>0</v>
      </c>
      <c r="J53" s="33"/>
      <c r="K53" s="33"/>
      <c r="L53" s="1">
        <v>1.4042699999999999</v>
      </c>
      <c r="M53" s="33"/>
      <c r="N53" s="33"/>
      <c r="O53" s="33"/>
      <c r="P53" s="33"/>
      <c r="Q53" s="33"/>
      <c r="R53" s="33"/>
      <c r="S53" s="33"/>
      <c r="T53" s="32"/>
    </row>
    <row r="54" spans="1:20" x14ac:dyDescent="0.25">
      <c r="A54" s="33"/>
      <c r="B54" s="33"/>
      <c r="C54" s="33"/>
      <c r="D54" s="33"/>
      <c r="E54" s="33"/>
      <c r="F54" s="33"/>
      <c r="G54" s="1" t="s">
        <v>59</v>
      </c>
      <c r="H54" s="25">
        <v>0</v>
      </c>
      <c r="I54" s="2">
        <f>VLOOKUP(H54,osebne_olajšave!A44:C47,2)</f>
        <v>9.9999999999999995E-8</v>
      </c>
      <c r="J54" s="33"/>
      <c r="K54" s="33"/>
      <c r="L54" s="49">
        <f>I48</f>
        <v>0</v>
      </c>
      <c r="M54" s="10"/>
      <c r="N54" s="10"/>
      <c r="O54" s="10"/>
      <c r="P54" s="10"/>
      <c r="Q54" s="10"/>
      <c r="R54" s="10"/>
      <c r="S54" s="10"/>
      <c r="T54" s="33"/>
    </row>
    <row r="55" spans="1:20" x14ac:dyDescent="0.25">
      <c r="A55" s="4" t="s">
        <v>33</v>
      </c>
      <c r="B55" s="1"/>
      <c r="C55" s="6">
        <v>7000</v>
      </c>
      <c r="D55" s="10"/>
      <c r="E55" s="10"/>
      <c r="F55" s="10"/>
      <c r="G55" s="1" t="s">
        <v>60</v>
      </c>
      <c r="H55" s="25">
        <v>0</v>
      </c>
      <c r="I55" s="2">
        <v>0</v>
      </c>
      <c r="J55" s="33"/>
      <c r="K55" s="33"/>
      <c r="L55" s="30">
        <f>L51+(L52-L53*L54)</f>
        <v>1850.04</v>
      </c>
      <c r="M55" s="32"/>
      <c r="N55" s="32"/>
      <c r="O55" s="32"/>
      <c r="P55" s="32"/>
      <c r="Q55" s="32"/>
      <c r="R55" s="32"/>
      <c r="S55" s="32"/>
      <c r="T55" s="33"/>
    </row>
    <row r="56" spans="1:20" x14ac:dyDescent="0.25">
      <c r="A56" s="1" t="s">
        <v>32</v>
      </c>
      <c r="B56" s="1"/>
      <c r="C56" s="2">
        <f>D44</f>
        <v>0</v>
      </c>
      <c r="D56" s="33"/>
      <c r="E56" s="33"/>
      <c r="F56" s="33"/>
      <c r="G56" s="1" t="s">
        <v>24</v>
      </c>
      <c r="H56" s="1"/>
      <c r="I56" s="2">
        <f>I48-(SUM(I49:I55))</f>
        <v>-291.67000020000006</v>
      </c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0" x14ac:dyDescent="0.25">
      <c r="A57" s="1" t="s">
        <v>31</v>
      </c>
      <c r="B57" s="1"/>
      <c r="C57" s="2">
        <v>4063</v>
      </c>
      <c r="D57" s="33"/>
      <c r="E57" s="33"/>
      <c r="F57" s="33"/>
      <c r="G57" s="1" t="s">
        <v>19</v>
      </c>
      <c r="H57" s="1">
        <f>1/12</f>
        <v>8.3333333333333329E-2</v>
      </c>
      <c r="I57" s="67">
        <f>C58*H57</f>
        <v>244.75</v>
      </c>
      <c r="J57" s="33"/>
      <c r="K57" s="33"/>
      <c r="L57" s="36" t="s">
        <v>64</v>
      </c>
      <c r="M57" s="37"/>
      <c r="N57" s="37"/>
      <c r="O57" s="38"/>
      <c r="P57" s="36" t="s">
        <v>65</v>
      </c>
      <c r="Q57" s="37"/>
      <c r="R57" s="37"/>
      <c r="S57" s="35"/>
      <c r="T57" s="33"/>
    </row>
    <row r="58" spans="1:20" x14ac:dyDescent="0.25">
      <c r="A58" s="25" t="s">
        <v>35</v>
      </c>
      <c r="B58" s="1"/>
      <c r="C58" s="67">
        <f>IF(C55&lt;=C57,"0,00",C55-C57)</f>
        <v>2937</v>
      </c>
      <c r="D58" s="33"/>
      <c r="E58" s="33"/>
      <c r="F58" s="33"/>
      <c r="G58" s="1" t="s">
        <v>23</v>
      </c>
      <c r="H58" s="1"/>
      <c r="I58" s="67">
        <f>IF(I57&gt;0,C58,0)</f>
        <v>2937</v>
      </c>
      <c r="J58" s="33"/>
      <c r="K58" s="33"/>
      <c r="L58" s="39" t="s">
        <v>63</v>
      </c>
      <c r="M58" s="40"/>
      <c r="N58" s="40"/>
      <c r="O58" s="41"/>
      <c r="P58" s="42"/>
      <c r="Q58" s="43"/>
      <c r="R58" s="43"/>
      <c r="S58" s="34"/>
      <c r="T58" s="33"/>
    </row>
    <row r="59" spans="1:20" x14ac:dyDescent="0.25">
      <c r="A59" s="33"/>
      <c r="B59" s="33"/>
      <c r="C59" s="33"/>
      <c r="D59" s="33"/>
      <c r="E59" s="33"/>
      <c r="F59" s="33"/>
      <c r="G59" s="1" t="s">
        <v>21</v>
      </c>
      <c r="H59" s="1"/>
      <c r="I59" s="2">
        <f>VLOOKUP(upokojitvi!I58,dohodninska_lestvica!A9:D13,3)</f>
        <v>470.83</v>
      </c>
      <c r="J59" s="33"/>
      <c r="K59" s="33"/>
      <c r="L59" s="61" t="s">
        <v>66</v>
      </c>
      <c r="M59" s="61"/>
      <c r="N59" s="61" t="s">
        <v>67</v>
      </c>
      <c r="O59" s="61"/>
      <c r="P59" s="61" t="s">
        <v>65</v>
      </c>
      <c r="Q59" s="61"/>
      <c r="R59" s="61"/>
      <c r="S59" s="61"/>
      <c r="T59" s="33"/>
    </row>
    <row r="60" spans="1:20" x14ac:dyDescent="0.25">
      <c r="A60" s="33" t="s">
        <v>10</v>
      </c>
      <c r="B60" s="33"/>
      <c r="C60" s="33"/>
      <c r="D60" s="33"/>
      <c r="E60" s="33"/>
      <c r="F60" s="33"/>
      <c r="G60" s="1" t="s">
        <v>22</v>
      </c>
      <c r="H60" s="1"/>
      <c r="I60" s="2">
        <f>VLOOKUP(I58,dohodninska_lestvica!A9:D13,4)*(I58-VLOOKUP(I58,dohodninska_lestvica!A9:D13,1))</f>
        <v>281.71110000000004</v>
      </c>
      <c r="J60" s="33"/>
      <c r="K60" s="33"/>
      <c r="L60" s="61">
        <v>930.54</v>
      </c>
      <c r="M60" s="61"/>
      <c r="N60" s="61">
        <v>1109.74</v>
      </c>
      <c r="O60" s="61"/>
      <c r="P60" s="61" t="s">
        <v>68</v>
      </c>
      <c r="Q60" s="61"/>
      <c r="R60" s="61"/>
      <c r="S60" s="61"/>
      <c r="T60" s="33"/>
    </row>
    <row r="61" spans="1:20" x14ac:dyDescent="0.25">
      <c r="A61" s="33"/>
      <c r="B61" s="33"/>
      <c r="C61" s="33"/>
      <c r="D61" s="33"/>
      <c r="E61" s="33"/>
      <c r="F61" s="33"/>
      <c r="G61" s="1" t="s">
        <v>20</v>
      </c>
      <c r="H61" s="1"/>
      <c r="I61" s="2">
        <f>SUM(I59:I60)</f>
        <v>752.54110000000003</v>
      </c>
      <c r="J61" s="33"/>
      <c r="K61" s="33"/>
      <c r="L61" s="61">
        <f>N60</f>
        <v>1109.74</v>
      </c>
      <c r="M61" s="61"/>
      <c r="N61" s="61"/>
      <c r="O61" s="61"/>
      <c r="P61" s="60">
        <v>291.67</v>
      </c>
      <c r="Q61" s="60"/>
      <c r="R61" s="60"/>
      <c r="S61" s="60"/>
      <c r="T61" s="33"/>
    </row>
    <row r="62" spans="1:20" x14ac:dyDescent="0.25">
      <c r="A62" s="3" t="s">
        <v>11</v>
      </c>
      <c r="B62" s="2"/>
      <c r="C62" s="1"/>
      <c r="D62" s="2">
        <f>IF(C55&lt;=C57,0.0000001,C55)</f>
        <v>7000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x14ac:dyDescent="0.25">
      <c r="A63" s="3" t="s">
        <v>26</v>
      </c>
      <c r="B63" s="2">
        <f>IF(C58&lt;=0,0.00000001,C58)</f>
        <v>2937</v>
      </c>
      <c r="C63" s="5">
        <v>0.221</v>
      </c>
      <c r="D63" s="2">
        <f>B63*C63</f>
        <v>649.077</v>
      </c>
      <c r="E63" s="33"/>
      <c r="F63" s="33"/>
      <c r="G63" s="3" t="s">
        <v>15</v>
      </c>
      <c r="H63" s="9">
        <f>I61/I58</f>
        <v>0.25622781750085122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 x14ac:dyDescent="0.25">
      <c r="A64" s="3" t="s">
        <v>27</v>
      </c>
      <c r="B64" s="2">
        <f>B63-D63</f>
        <v>2287.9229999999998</v>
      </c>
      <c r="C64" s="5">
        <f>H63</f>
        <v>0.25622781750085122</v>
      </c>
      <c r="D64" s="2">
        <f>B64*C64</f>
        <v>586.22951689999991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 x14ac:dyDescent="0.25">
      <c r="A65" s="3" t="s">
        <v>12</v>
      </c>
      <c r="B65" s="2"/>
      <c r="C65" s="1"/>
      <c r="D65" s="6">
        <f>D62-D63-D64</f>
        <v>5764.6934830999999</v>
      </c>
      <c r="E65" s="10" t="s">
        <v>54</v>
      </c>
      <c r="F65" s="10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 x14ac:dyDescent="0.25">
      <c r="A66" s="3" t="s">
        <v>13</v>
      </c>
      <c r="B66" s="2">
        <f>B63</f>
        <v>2937</v>
      </c>
      <c r="C66" s="5">
        <v>0.161</v>
      </c>
      <c r="D66" s="2">
        <f>B66*C66</f>
        <v>472.85700000000003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 x14ac:dyDescent="0.25">
      <c r="A67" s="3" t="s">
        <v>14</v>
      </c>
      <c r="B67" s="7"/>
      <c r="C67" s="3"/>
      <c r="D67" s="7">
        <f>D62+D66</f>
        <v>7472.857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1:20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</row>
    <row r="71" spans="1:20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</sheetData>
  <mergeCells count="20">
    <mergeCell ref="L60:M60"/>
    <mergeCell ref="N60:O60"/>
    <mergeCell ref="P60:S60"/>
    <mergeCell ref="L61:M61"/>
    <mergeCell ref="N61:O61"/>
    <mergeCell ref="P61:S61"/>
    <mergeCell ref="C6:C8"/>
    <mergeCell ref="C42:C44"/>
    <mergeCell ref="L59:M59"/>
    <mergeCell ref="N59:O59"/>
    <mergeCell ref="P59:S59"/>
    <mergeCell ref="L25:M25"/>
    <mergeCell ref="N25:O25"/>
    <mergeCell ref="P25:S25"/>
    <mergeCell ref="L23:M23"/>
    <mergeCell ref="N23:O23"/>
    <mergeCell ref="P23:S23"/>
    <mergeCell ref="L24:M24"/>
    <mergeCell ref="N24:O24"/>
    <mergeCell ref="P24:S2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8F32-EB13-474A-87EC-408943475686}">
  <dimension ref="A1:H15"/>
  <sheetViews>
    <sheetView workbookViewId="0">
      <selection activeCell="D13" sqref="D13"/>
    </sheetView>
  </sheetViews>
  <sheetFormatPr defaultRowHeight="15" x14ac:dyDescent="0.25"/>
  <cols>
    <col min="1" max="1" width="14.5703125" customWidth="1"/>
    <col min="2" max="2" width="19.85546875" customWidth="1"/>
    <col min="3" max="3" width="18.140625" customWidth="1"/>
    <col min="4" max="4" width="28.85546875" customWidth="1"/>
    <col min="6" max="6" width="9.5703125" bestFit="1" customWidth="1"/>
    <col min="7" max="8" width="9.42578125" bestFit="1" customWidth="1"/>
  </cols>
  <sheetData>
    <row r="1" spans="1:8" x14ac:dyDescent="0.25">
      <c r="A1" s="11" t="s">
        <v>36</v>
      </c>
      <c r="B1" s="11" t="s">
        <v>37</v>
      </c>
      <c r="C1" s="11" t="s">
        <v>21</v>
      </c>
      <c r="D1" s="11" t="s">
        <v>38</v>
      </c>
    </row>
    <row r="2" spans="1:8" x14ac:dyDescent="0.25">
      <c r="A2" s="12">
        <v>0</v>
      </c>
      <c r="B2" s="12">
        <v>8500</v>
      </c>
      <c r="C2" s="12">
        <v>0</v>
      </c>
      <c r="D2" s="4">
        <v>0.16</v>
      </c>
    </row>
    <row r="3" spans="1:8" x14ac:dyDescent="0.25">
      <c r="A3" s="12">
        <f>B2</f>
        <v>8500</v>
      </c>
      <c r="B3" s="12">
        <v>25000</v>
      </c>
      <c r="C3" s="12">
        <v>1360</v>
      </c>
      <c r="D3" s="4">
        <v>0.26</v>
      </c>
    </row>
    <row r="4" spans="1:8" x14ac:dyDescent="0.25">
      <c r="A4" s="12">
        <f>B3</f>
        <v>25000</v>
      </c>
      <c r="B4" s="12">
        <v>50000</v>
      </c>
      <c r="C4" s="12">
        <v>5650</v>
      </c>
      <c r="D4" s="4">
        <v>0.33</v>
      </c>
    </row>
    <row r="5" spans="1:8" x14ac:dyDescent="0.25">
      <c r="A5" s="12">
        <f>B4</f>
        <v>50000</v>
      </c>
      <c r="B5" s="12">
        <v>72000</v>
      </c>
      <c r="C5" s="12">
        <v>13900</v>
      </c>
      <c r="D5" s="4">
        <v>0.39</v>
      </c>
    </row>
    <row r="6" spans="1:8" x14ac:dyDescent="0.25">
      <c r="A6" s="12">
        <v>70907.199999999997</v>
      </c>
      <c r="B6" s="12"/>
      <c r="C6" s="12">
        <v>22480</v>
      </c>
      <c r="D6" s="4">
        <v>0.5</v>
      </c>
    </row>
    <row r="8" spans="1:8" x14ac:dyDescent="0.25">
      <c r="A8" s="62" t="s">
        <v>39</v>
      </c>
      <c r="B8" s="62"/>
      <c r="C8" s="62"/>
      <c r="D8" s="62"/>
    </row>
    <row r="9" spans="1:8" x14ac:dyDescent="0.25">
      <c r="A9" s="12">
        <f>A2/12</f>
        <v>0</v>
      </c>
      <c r="B9" s="12">
        <f>ROUND(B2/12,2)</f>
        <v>708.33</v>
      </c>
      <c r="C9" s="12">
        <f>ROUND(C2/12,2)</f>
        <v>0</v>
      </c>
      <c r="D9" s="4">
        <v>0.16</v>
      </c>
    </row>
    <row r="10" spans="1:8" x14ac:dyDescent="0.25">
      <c r="A10" s="12">
        <f>B9</f>
        <v>708.33</v>
      </c>
      <c r="B10" s="12">
        <f>ROUND(B3/12,2)</f>
        <v>2083.33</v>
      </c>
      <c r="C10" s="12">
        <f>ROUND(C3/12,2)</f>
        <v>113.33</v>
      </c>
      <c r="D10" s="4">
        <v>0.26</v>
      </c>
    </row>
    <row r="11" spans="1:8" x14ac:dyDescent="0.25">
      <c r="A11" s="12">
        <f>B10</f>
        <v>2083.33</v>
      </c>
      <c r="B11" s="12">
        <v>4166.67</v>
      </c>
      <c r="C11" s="12">
        <v>470.83</v>
      </c>
      <c r="D11" s="4">
        <v>0.33</v>
      </c>
    </row>
    <row r="12" spans="1:8" x14ac:dyDescent="0.25">
      <c r="A12" s="12">
        <f>B11</f>
        <v>4166.67</v>
      </c>
      <c r="B12" s="12">
        <v>6000</v>
      </c>
      <c r="C12" s="12">
        <v>1158.33</v>
      </c>
      <c r="D12" s="4">
        <v>0.39</v>
      </c>
    </row>
    <row r="13" spans="1:8" x14ac:dyDescent="0.25">
      <c r="A13" s="12">
        <f>B12</f>
        <v>6000</v>
      </c>
      <c r="B13" s="12"/>
      <c r="C13" s="12">
        <v>1873.33</v>
      </c>
      <c r="D13" s="4">
        <v>0.5</v>
      </c>
    </row>
    <row r="15" spans="1:8" x14ac:dyDescent="0.25">
      <c r="F15" s="2">
        <v>2770</v>
      </c>
      <c r="G15" s="24">
        <f>F15-A11</f>
        <v>686.67000000000007</v>
      </c>
      <c r="H15" s="24">
        <f>D11*G15</f>
        <v>226.60110000000003</v>
      </c>
    </row>
  </sheetData>
  <mergeCells count="1">
    <mergeCell ref="A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E088-6ABA-480C-A090-104307A4F717}">
  <dimension ref="A1:I48"/>
  <sheetViews>
    <sheetView workbookViewId="0">
      <selection activeCell="B27" sqref="B27"/>
    </sheetView>
  </sheetViews>
  <sheetFormatPr defaultRowHeight="15" x14ac:dyDescent="0.25"/>
  <cols>
    <col min="2" max="2" width="16.28515625" customWidth="1"/>
    <col min="3" max="3" width="17.85546875" customWidth="1"/>
    <col min="4" max="4" width="21.5703125" customWidth="1"/>
    <col min="5" max="5" width="23" customWidth="1"/>
  </cols>
  <sheetData>
    <row r="1" spans="1:9" x14ac:dyDescent="0.25">
      <c r="A1" s="14" t="s">
        <v>40</v>
      </c>
    </row>
    <row r="3" spans="1:9" x14ac:dyDescent="0.25">
      <c r="A3" s="1" t="s">
        <v>41</v>
      </c>
      <c r="B3" s="13" t="s">
        <v>42</v>
      </c>
      <c r="C3" s="13" t="s">
        <v>43</v>
      </c>
      <c r="I3" s="15"/>
    </row>
    <row r="4" spans="1:9" x14ac:dyDescent="0.25">
      <c r="A4" s="1">
        <v>0</v>
      </c>
      <c r="B4" s="1">
        <v>9.9999999999999995E-7</v>
      </c>
      <c r="C4" s="1">
        <v>0</v>
      </c>
      <c r="I4" s="15"/>
    </row>
    <row r="5" spans="1:9" x14ac:dyDescent="0.25">
      <c r="A5" s="1">
        <v>1</v>
      </c>
      <c r="B5" s="2">
        <f>ROUND(C5/12,2)</f>
        <v>1471.57</v>
      </c>
      <c r="C5" s="2">
        <v>17658.84</v>
      </c>
      <c r="D5" s="16">
        <f>ROUND(E5/12,2)</f>
        <v>1471.57</v>
      </c>
      <c r="E5" s="2">
        <v>17658.84</v>
      </c>
      <c r="I5" s="15"/>
    </row>
    <row r="6" spans="1:9" x14ac:dyDescent="0.25">
      <c r="A6" s="1">
        <v>2</v>
      </c>
      <c r="B6" s="17">
        <f>B5+$D$5</f>
        <v>2943.14</v>
      </c>
      <c r="C6" s="17">
        <f>C5+$E$5</f>
        <v>35317.68</v>
      </c>
      <c r="I6" s="15"/>
    </row>
    <row r="7" spans="1:9" x14ac:dyDescent="0.25">
      <c r="A7" s="1">
        <v>3</v>
      </c>
      <c r="B7" s="17">
        <f>B6+$D$5</f>
        <v>4414.71</v>
      </c>
      <c r="C7" s="17">
        <f>C6+$E$5</f>
        <v>52976.520000000004</v>
      </c>
      <c r="I7" s="15"/>
    </row>
    <row r="8" spans="1:9" x14ac:dyDescent="0.25">
      <c r="I8" s="15"/>
    </row>
    <row r="9" spans="1:9" x14ac:dyDescent="0.25">
      <c r="A9" s="18" t="s">
        <v>44</v>
      </c>
      <c r="B9" s="18" t="s">
        <v>45</v>
      </c>
      <c r="C9" s="18" t="s">
        <v>43</v>
      </c>
      <c r="D9" s="18" t="s">
        <v>42</v>
      </c>
      <c r="E9" s="18" t="s">
        <v>46</v>
      </c>
      <c r="I9" s="15"/>
    </row>
    <row r="10" spans="1:9" x14ac:dyDescent="0.25">
      <c r="A10" s="1">
        <v>0</v>
      </c>
      <c r="B10" s="1">
        <v>9.9999999999999995E-7</v>
      </c>
      <c r="C10" s="1">
        <v>0</v>
      </c>
      <c r="D10" s="1">
        <v>0</v>
      </c>
      <c r="E10" s="1">
        <v>0</v>
      </c>
      <c r="I10" s="15"/>
    </row>
    <row r="11" spans="1:9" x14ac:dyDescent="0.25">
      <c r="A11" s="1">
        <v>1</v>
      </c>
      <c r="B11" s="17">
        <f>D11</f>
        <v>203.08</v>
      </c>
      <c r="C11" s="2">
        <v>2456.92</v>
      </c>
      <c r="D11" s="2">
        <v>203.08</v>
      </c>
      <c r="E11" s="17">
        <f>C11</f>
        <v>2456.92</v>
      </c>
      <c r="I11" s="15"/>
    </row>
    <row r="12" spans="1:9" x14ac:dyDescent="0.25">
      <c r="A12" s="1">
        <v>2</v>
      </c>
      <c r="B12" s="17">
        <f t="shared" ref="B12:B21" si="0">B11+$D$12</f>
        <v>423.85</v>
      </c>
      <c r="C12" s="2">
        <v>2649.24</v>
      </c>
      <c r="D12" s="2">
        <v>220.77</v>
      </c>
      <c r="E12" s="17">
        <f t="shared" ref="E12:E21" si="1">E11+$C$12</f>
        <v>5106.16</v>
      </c>
      <c r="I12" s="15"/>
    </row>
    <row r="13" spans="1:9" x14ac:dyDescent="0.25">
      <c r="A13" s="1">
        <v>3</v>
      </c>
      <c r="B13" s="17">
        <f t="shared" si="0"/>
        <v>644.62</v>
      </c>
      <c r="C13" s="2">
        <v>4418.54</v>
      </c>
      <c r="D13" s="2">
        <v>386.21</v>
      </c>
      <c r="E13" s="17">
        <f t="shared" si="1"/>
        <v>7755.4</v>
      </c>
      <c r="I13" s="15"/>
    </row>
    <row r="14" spans="1:9" x14ac:dyDescent="0.25">
      <c r="A14" s="1">
        <v>4</v>
      </c>
      <c r="B14" s="17">
        <f t="shared" si="0"/>
        <v>865.39</v>
      </c>
      <c r="C14" s="2">
        <v>6187.85</v>
      </c>
      <c r="D14" s="2">
        <v>515.65</v>
      </c>
      <c r="E14" s="17">
        <f t="shared" si="1"/>
        <v>10404.64</v>
      </c>
      <c r="I14" s="15"/>
    </row>
    <row r="15" spans="1:9" x14ac:dyDescent="0.25">
      <c r="A15" s="1">
        <v>5</v>
      </c>
      <c r="B15" s="17">
        <f t="shared" si="0"/>
        <v>1086.1600000000001</v>
      </c>
      <c r="C15" s="2">
        <v>7957.14</v>
      </c>
      <c r="D15" s="2">
        <v>663.09</v>
      </c>
      <c r="E15" s="17">
        <f t="shared" si="1"/>
        <v>13053.88</v>
      </c>
      <c r="I15" s="19">
        <v>1769.3</v>
      </c>
    </row>
    <row r="16" spans="1:9" x14ac:dyDescent="0.25">
      <c r="A16" s="1">
        <v>6</v>
      </c>
      <c r="B16" s="17">
        <f t="shared" si="0"/>
        <v>1306.93</v>
      </c>
      <c r="C16" s="2">
        <f t="shared" ref="C16:C21" si="2">C15+$I$15</f>
        <v>9726.44</v>
      </c>
      <c r="D16" s="2">
        <f t="shared" ref="D16:D21" si="3">D15+$J$15</f>
        <v>663.09</v>
      </c>
      <c r="E16" s="17">
        <f t="shared" si="1"/>
        <v>15703.119999999999</v>
      </c>
      <c r="I16" s="15"/>
    </row>
    <row r="17" spans="1:9" x14ac:dyDescent="0.25">
      <c r="A17" s="1">
        <v>7</v>
      </c>
      <c r="B17" s="17">
        <f t="shared" si="0"/>
        <v>1527.7</v>
      </c>
      <c r="C17" s="2">
        <f t="shared" si="2"/>
        <v>11495.74</v>
      </c>
      <c r="D17" s="2">
        <f t="shared" si="3"/>
        <v>663.09</v>
      </c>
      <c r="E17" s="17">
        <f t="shared" si="1"/>
        <v>18352.36</v>
      </c>
      <c r="I17" s="15"/>
    </row>
    <row r="18" spans="1:9" x14ac:dyDescent="0.25">
      <c r="A18" s="1">
        <v>8</v>
      </c>
      <c r="B18" s="17">
        <f t="shared" si="0"/>
        <v>1748.47</v>
      </c>
      <c r="C18" s="2">
        <f t="shared" si="2"/>
        <v>13265.039999999999</v>
      </c>
      <c r="D18" s="2">
        <f t="shared" si="3"/>
        <v>663.09</v>
      </c>
      <c r="E18" s="17">
        <f t="shared" si="1"/>
        <v>21001.599999999999</v>
      </c>
      <c r="I18" s="15"/>
    </row>
    <row r="19" spans="1:9" x14ac:dyDescent="0.25">
      <c r="A19" s="1">
        <v>9</v>
      </c>
      <c r="B19" s="17">
        <f t="shared" si="0"/>
        <v>1969.24</v>
      </c>
      <c r="C19" s="2">
        <f t="shared" si="2"/>
        <v>15034.339999999998</v>
      </c>
      <c r="D19" s="2">
        <f t="shared" si="3"/>
        <v>663.09</v>
      </c>
      <c r="E19" s="17">
        <f t="shared" si="1"/>
        <v>23650.839999999997</v>
      </c>
      <c r="I19" s="15"/>
    </row>
    <row r="20" spans="1:9" x14ac:dyDescent="0.25">
      <c r="A20" s="1">
        <v>10</v>
      </c>
      <c r="B20" s="17">
        <f t="shared" si="0"/>
        <v>2190.0100000000002</v>
      </c>
      <c r="C20" s="2">
        <f t="shared" si="2"/>
        <v>16803.64</v>
      </c>
      <c r="D20" s="2">
        <f t="shared" si="3"/>
        <v>663.09</v>
      </c>
      <c r="E20" s="17">
        <f t="shared" si="1"/>
        <v>26300.079999999994</v>
      </c>
      <c r="I20" s="15"/>
    </row>
    <row r="21" spans="1:9" x14ac:dyDescent="0.25">
      <c r="A21" s="1">
        <v>11</v>
      </c>
      <c r="B21" s="17">
        <f t="shared" si="0"/>
        <v>2410.7800000000002</v>
      </c>
      <c r="C21" s="2">
        <f t="shared" si="2"/>
        <v>18572.939999999999</v>
      </c>
      <c r="D21" s="2">
        <f t="shared" si="3"/>
        <v>663.09</v>
      </c>
      <c r="E21" s="17">
        <f t="shared" si="1"/>
        <v>28949.319999999992</v>
      </c>
      <c r="I21" s="15"/>
    </row>
    <row r="22" spans="1:9" x14ac:dyDescent="0.25">
      <c r="A22" s="20">
        <v>12</v>
      </c>
      <c r="B22" s="21">
        <f>D22</f>
        <v>735.83</v>
      </c>
      <c r="C22" s="22">
        <v>8830</v>
      </c>
      <c r="D22" s="2">
        <v>735.83</v>
      </c>
      <c r="E22" s="17">
        <f>C22</f>
        <v>8830</v>
      </c>
      <c r="F22" t="s">
        <v>47</v>
      </c>
      <c r="I22" s="15"/>
    </row>
    <row r="23" spans="1:9" x14ac:dyDescent="0.25">
      <c r="F23" s="15"/>
      <c r="G23" s="15"/>
      <c r="H23" s="15"/>
      <c r="I23" s="15"/>
    </row>
    <row r="24" spans="1:9" x14ac:dyDescent="0.25">
      <c r="A24" s="23" t="s">
        <v>48</v>
      </c>
      <c r="B24" s="23"/>
    </row>
    <row r="26" spans="1:9" x14ac:dyDescent="0.25">
      <c r="A26" t="s">
        <v>49</v>
      </c>
      <c r="B26" s="18" t="s">
        <v>42</v>
      </c>
      <c r="C26" s="18" t="s">
        <v>43</v>
      </c>
    </row>
    <row r="27" spans="1:9" x14ac:dyDescent="0.25">
      <c r="A27" s="1">
        <v>0</v>
      </c>
      <c r="B27" s="1">
        <v>9.9999999999999995E-7</v>
      </c>
      <c r="C27" s="1">
        <v>0</v>
      </c>
    </row>
    <row r="28" spans="1:9" x14ac:dyDescent="0.25">
      <c r="A28" s="1">
        <v>1</v>
      </c>
      <c r="B28" s="2">
        <v>203.08</v>
      </c>
      <c r="C28" s="2">
        <v>2436.92</v>
      </c>
      <c r="E28" s="24">
        <f>C28</f>
        <v>2436.92</v>
      </c>
      <c r="F28" s="24">
        <f>B28</f>
        <v>203.08</v>
      </c>
    </row>
    <row r="29" spans="1:9" x14ac:dyDescent="0.25">
      <c r="A29" s="1">
        <v>2</v>
      </c>
      <c r="B29" s="17">
        <f>B28+$F$28</f>
        <v>406.16</v>
      </c>
      <c r="C29" s="17">
        <f>C28+$E$28</f>
        <v>4873.84</v>
      </c>
    </row>
    <row r="30" spans="1:9" x14ac:dyDescent="0.25">
      <c r="A30" s="1">
        <v>3</v>
      </c>
      <c r="B30" s="17">
        <f>B29+$F$28</f>
        <v>609.24</v>
      </c>
      <c r="C30" s="17">
        <f t="shared" ref="C30:C33" si="4">C29+$E$28</f>
        <v>7310.76</v>
      </c>
    </row>
    <row r="31" spans="1:9" x14ac:dyDescent="0.25">
      <c r="A31" s="1">
        <v>4</v>
      </c>
      <c r="B31" s="17">
        <f t="shared" ref="B31:B33" si="5">B30+$F$28</f>
        <v>812.32</v>
      </c>
      <c r="C31" s="17">
        <f t="shared" si="4"/>
        <v>9747.68</v>
      </c>
    </row>
    <row r="32" spans="1:9" x14ac:dyDescent="0.25">
      <c r="A32" s="1">
        <v>5</v>
      </c>
      <c r="B32" s="17">
        <f t="shared" si="5"/>
        <v>1015.4000000000001</v>
      </c>
      <c r="C32" s="17">
        <f t="shared" si="4"/>
        <v>12184.6</v>
      </c>
    </row>
    <row r="33" spans="1:6" x14ac:dyDescent="0.25">
      <c r="A33" s="1">
        <v>6</v>
      </c>
      <c r="B33" s="17">
        <f t="shared" si="5"/>
        <v>1218.48</v>
      </c>
      <c r="C33" s="17">
        <f t="shared" si="4"/>
        <v>14621.52</v>
      </c>
    </row>
    <row r="35" spans="1:6" x14ac:dyDescent="0.25">
      <c r="A35" s="23" t="s">
        <v>50</v>
      </c>
    </row>
    <row r="36" spans="1:6" x14ac:dyDescent="0.25">
      <c r="A36" t="s">
        <v>51</v>
      </c>
      <c r="B36" s="18" t="s">
        <v>42</v>
      </c>
      <c r="C36" s="18" t="s">
        <v>43</v>
      </c>
    </row>
    <row r="37" spans="1:6" x14ac:dyDescent="0.25">
      <c r="A37" s="1">
        <v>0</v>
      </c>
      <c r="B37" s="1">
        <v>9.9999999999999995E-7</v>
      </c>
      <c r="C37" s="1">
        <v>0</v>
      </c>
    </row>
    <row r="38" spans="1:6" x14ac:dyDescent="0.25">
      <c r="A38" s="1">
        <v>1</v>
      </c>
      <c r="B38" s="2">
        <f>ROUND(C38/12,2)</f>
        <v>275.23</v>
      </c>
      <c r="C38" s="2">
        <v>3302.7</v>
      </c>
      <c r="E38" s="24">
        <f>C38</f>
        <v>3302.7</v>
      </c>
      <c r="F38" s="24">
        <f>B38</f>
        <v>275.23</v>
      </c>
    </row>
    <row r="39" spans="1:6" x14ac:dyDescent="0.25">
      <c r="A39" s="1">
        <v>2</v>
      </c>
      <c r="B39" s="17">
        <f>B38+$F$38</f>
        <v>550.46</v>
      </c>
      <c r="C39" s="17">
        <f>C38+$E$38</f>
        <v>6605.4</v>
      </c>
    </row>
    <row r="40" spans="1:6" x14ac:dyDescent="0.25">
      <c r="A40" s="1">
        <v>3</v>
      </c>
      <c r="B40" s="17">
        <f t="shared" ref="B40:B43" si="6">B39+$F$38</f>
        <v>825.69</v>
      </c>
      <c r="C40" s="17">
        <f t="shared" ref="C40:C43" si="7">C39+$E$38</f>
        <v>9908.0999999999985</v>
      </c>
    </row>
    <row r="41" spans="1:6" x14ac:dyDescent="0.25">
      <c r="A41" s="1">
        <v>4</v>
      </c>
      <c r="B41" s="17">
        <f t="shared" si="6"/>
        <v>1100.92</v>
      </c>
      <c r="C41" s="17">
        <f t="shared" si="7"/>
        <v>13210.8</v>
      </c>
    </row>
    <row r="42" spans="1:6" x14ac:dyDescent="0.25">
      <c r="A42" s="1">
        <v>5</v>
      </c>
      <c r="B42" s="17">
        <f t="shared" si="6"/>
        <v>1376.15</v>
      </c>
      <c r="C42" s="17">
        <f t="shared" si="7"/>
        <v>16513.5</v>
      </c>
    </row>
    <row r="43" spans="1:6" x14ac:dyDescent="0.25">
      <c r="A43" s="1">
        <v>6</v>
      </c>
      <c r="B43" s="17">
        <f t="shared" si="6"/>
        <v>1651.38</v>
      </c>
      <c r="C43" s="17">
        <f t="shared" si="7"/>
        <v>19816.2</v>
      </c>
    </row>
    <row r="45" spans="1:6" x14ac:dyDescent="0.25">
      <c r="A45" s="23" t="s">
        <v>61</v>
      </c>
      <c r="B45" s="23"/>
    </row>
    <row r="46" spans="1:6" x14ac:dyDescent="0.25">
      <c r="B46" s="18" t="s">
        <v>42</v>
      </c>
      <c r="C46" s="18" t="s">
        <v>43</v>
      </c>
    </row>
    <row r="47" spans="1:6" x14ac:dyDescent="0.25">
      <c r="A47">
        <v>0</v>
      </c>
      <c r="B47">
        <v>9.9999999999999995E-8</v>
      </c>
      <c r="C47">
        <v>0</v>
      </c>
    </row>
    <row r="48" spans="1:6" x14ac:dyDescent="0.25">
      <c r="A48" s="28">
        <v>1</v>
      </c>
      <c r="B48" s="2">
        <f>ROUND(C48/12,2)</f>
        <v>234.92</v>
      </c>
      <c r="C48" s="2">
        <v>2819.09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9CD2-3EAF-4F51-A716-63AC42D4D80D}">
  <dimension ref="A7:U41"/>
  <sheetViews>
    <sheetView zoomScaleNormal="100" workbookViewId="0">
      <selection activeCell="I24" sqref="I24"/>
    </sheetView>
  </sheetViews>
  <sheetFormatPr defaultRowHeight="15" x14ac:dyDescent="0.25"/>
  <cols>
    <col min="1" max="1" width="49.7109375" style="33" customWidth="1"/>
    <col min="2" max="2" width="12" style="33" customWidth="1"/>
    <col min="3" max="3" width="15.42578125" style="33" customWidth="1"/>
    <col min="4" max="4" width="15" style="33" bestFit="1" customWidth="1"/>
    <col min="5" max="5" width="9.140625" style="33"/>
    <col min="6" max="6" width="34.7109375" style="33" customWidth="1"/>
    <col min="7" max="7" width="41.85546875" style="33" customWidth="1"/>
    <col min="8" max="8" width="10" style="33" bestFit="1" customWidth="1"/>
    <col min="9" max="9" width="18" style="33" customWidth="1"/>
    <col min="10" max="10" width="9.140625" style="33"/>
    <col min="11" max="11" width="9.5703125" style="33" bestFit="1" customWidth="1"/>
    <col min="12" max="12" width="9.140625" style="33" customWidth="1"/>
    <col min="13" max="17" width="9.140625" style="33"/>
    <col min="18" max="18" width="12.7109375" style="33" customWidth="1"/>
    <col min="19" max="16384" width="9.140625" style="33"/>
  </cols>
  <sheetData>
    <row r="7" spans="1:11" x14ac:dyDescent="0.25">
      <c r="A7" s="8" t="s">
        <v>25</v>
      </c>
      <c r="B7" s="8"/>
      <c r="C7" s="8"/>
      <c r="D7" s="8"/>
      <c r="G7" s="33" t="s">
        <v>5</v>
      </c>
    </row>
    <row r="8" spans="1:11" x14ac:dyDescent="0.25">
      <c r="G8" s="3" t="s">
        <v>30</v>
      </c>
      <c r="H8" s="3" t="s">
        <v>9</v>
      </c>
    </row>
    <row r="9" spans="1:11" x14ac:dyDescent="0.25">
      <c r="A9" s="10" t="s">
        <v>55</v>
      </c>
      <c r="B9" s="8"/>
      <c r="C9" s="8"/>
      <c r="D9" s="8"/>
      <c r="G9" s="1" t="s">
        <v>6</v>
      </c>
      <c r="H9" s="4">
        <v>0.2</v>
      </c>
    </row>
    <row r="10" spans="1:11" x14ac:dyDescent="0.25">
      <c r="G10" s="1" t="s">
        <v>7</v>
      </c>
      <c r="H10" s="4">
        <v>0.25</v>
      </c>
    </row>
    <row r="11" spans="1:11" x14ac:dyDescent="0.25">
      <c r="A11" s="3"/>
      <c r="B11" s="3"/>
      <c r="C11" s="3" t="s">
        <v>3</v>
      </c>
      <c r="G11" s="1" t="s">
        <v>8</v>
      </c>
      <c r="H11" s="5">
        <v>0.33329999999999999</v>
      </c>
    </row>
    <row r="12" spans="1:11" x14ac:dyDescent="0.25">
      <c r="A12" s="26" t="s">
        <v>0</v>
      </c>
      <c r="B12" s="27">
        <v>2750</v>
      </c>
      <c r="C12" s="26" t="s">
        <v>28</v>
      </c>
    </row>
    <row r="13" spans="1:11" x14ac:dyDescent="0.25">
      <c r="A13" s="26" t="s">
        <v>29</v>
      </c>
      <c r="B13" s="27">
        <v>33</v>
      </c>
      <c r="C13" s="26" t="s">
        <v>4</v>
      </c>
      <c r="G13" s="3" t="s">
        <v>15</v>
      </c>
      <c r="H13" s="3"/>
      <c r="I13" s="3"/>
    </row>
    <row r="14" spans="1:11" x14ac:dyDescent="0.25">
      <c r="A14" s="26" t="s">
        <v>1</v>
      </c>
      <c r="B14" s="27">
        <v>2850</v>
      </c>
      <c r="C14" s="26" t="s">
        <v>28</v>
      </c>
      <c r="G14" s="1" t="s">
        <v>16</v>
      </c>
      <c r="H14" s="1"/>
      <c r="I14" s="2">
        <v>1109.74</v>
      </c>
      <c r="K14" s="1">
        <v>291.67</v>
      </c>
    </row>
    <row r="15" spans="1:11" x14ac:dyDescent="0.25">
      <c r="A15" s="26" t="s">
        <v>2</v>
      </c>
      <c r="B15" s="27">
        <v>1753.84</v>
      </c>
      <c r="C15" s="26" t="s">
        <v>28</v>
      </c>
      <c r="G15" s="1" t="s">
        <v>17</v>
      </c>
      <c r="H15" s="5">
        <v>0.221</v>
      </c>
      <c r="I15" s="2">
        <f>H15*I14</f>
        <v>245.25254000000001</v>
      </c>
      <c r="K15" s="1">
        <v>1558.37</v>
      </c>
    </row>
    <row r="16" spans="1:11" x14ac:dyDescent="0.25">
      <c r="G16" s="1" t="s">
        <v>18</v>
      </c>
      <c r="H16" s="1"/>
      <c r="I16" s="31">
        <f>IF(AND(K17&gt;=K23,K17&lt;=K24),K18,O24)</f>
        <v>291.66541019999994</v>
      </c>
      <c r="K16" s="1">
        <v>1.4042699999999999</v>
      </c>
    </row>
    <row r="17" spans="1:21" x14ac:dyDescent="0.25">
      <c r="A17" s="46" t="s">
        <v>71</v>
      </c>
      <c r="B17" s="1">
        <v>33</v>
      </c>
      <c r="C17" s="2">
        <f>B12</f>
        <v>2750</v>
      </c>
      <c r="D17" s="2">
        <f>B17*C17*E17</f>
        <v>29947.5</v>
      </c>
      <c r="E17" s="45">
        <v>0.33</v>
      </c>
      <c r="G17" s="1" t="s">
        <v>56</v>
      </c>
      <c r="H17" s="1">
        <v>0</v>
      </c>
      <c r="I17" s="2">
        <f>VLOOKUP(H17,osebne_olajšave!A10:E21,2)</f>
        <v>9.9999999999999995E-7</v>
      </c>
      <c r="K17" s="49">
        <f>I14</f>
        <v>1109.74</v>
      </c>
      <c r="L17" s="10"/>
      <c r="M17" s="10"/>
      <c r="N17" s="10"/>
      <c r="O17" s="10"/>
      <c r="P17" s="10"/>
      <c r="Q17" s="10"/>
      <c r="R17" s="10"/>
      <c r="S17" s="10"/>
    </row>
    <row r="18" spans="1:21" x14ac:dyDescent="0.25">
      <c r="A18" s="47" t="s">
        <v>73</v>
      </c>
      <c r="B18" s="1">
        <v>10</v>
      </c>
      <c r="C18" s="2">
        <f>C17</f>
        <v>2750</v>
      </c>
      <c r="D18" s="6">
        <f>B18*C18</f>
        <v>27500</v>
      </c>
      <c r="E18" s="44" t="s">
        <v>69</v>
      </c>
      <c r="G18" s="1" t="s">
        <v>57</v>
      </c>
      <c r="H18" s="1">
        <v>0</v>
      </c>
      <c r="I18" s="2">
        <f>VLOOKUP(H18,osebne_olajšave!A27:B33,2)</f>
        <v>9.9999999999999995E-7</v>
      </c>
      <c r="K18" s="30">
        <f>K14+(K15-K16*K17)</f>
        <v>291.66541019999994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25">
      <c r="A19" s="48" t="s">
        <v>70</v>
      </c>
      <c r="B19" s="1">
        <v>10</v>
      </c>
      <c r="C19" s="2">
        <v>1730</v>
      </c>
      <c r="D19" s="2">
        <f>B19*C19</f>
        <v>17300</v>
      </c>
      <c r="E19" s="1" t="s">
        <v>69</v>
      </c>
      <c r="G19" s="1" t="s">
        <v>58</v>
      </c>
      <c r="H19" s="1">
        <v>0</v>
      </c>
      <c r="I19" s="2">
        <f>VLOOKUP(H19,osebne_olajšave!A37:B43,2)</f>
        <v>9.9999999999999995E-7</v>
      </c>
    </row>
    <row r="20" spans="1:21" x14ac:dyDescent="0.25">
      <c r="A20" s="58" t="s">
        <v>74</v>
      </c>
      <c r="B20" s="59" t="s">
        <v>69</v>
      </c>
      <c r="C20" s="59" t="s">
        <v>75</v>
      </c>
      <c r="D20" s="56">
        <f>D18-D19</f>
        <v>10200</v>
      </c>
      <c r="E20" s="1" t="s">
        <v>69</v>
      </c>
      <c r="G20" s="1" t="s">
        <v>59</v>
      </c>
      <c r="H20" s="25">
        <v>0</v>
      </c>
      <c r="I20" s="2">
        <f>VLOOKUP(H20,osebne_olajšave!A4:B7,2)</f>
        <v>9.9999999999999995E-7</v>
      </c>
      <c r="K20" s="36" t="s">
        <v>64</v>
      </c>
      <c r="L20" s="37"/>
      <c r="M20" s="37"/>
      <c r="N20" s="38"/>
      <c r="O20" s="36" t="s">
        <v>65</v>
      </c>
      <c r="P20" s="37"/>
      <c r="Q20" s="37"/>
      <c r="R20" s="35"/>
    </row>
    <row r="21" spans="1:21" x14ac:dyDescent="0.25">
      <c r="G21" s="1" t="s">
        <v>60</v>
      </c>
      <c r="H21" s="25">
        <v>0</v>
      </c>
      <c r="I21" s="2">
        <f>VLOOKUP(H21,osebne_olajšave!A47:C48,2)</f>
        <v>9.9999999999999995E-8</v>
      </c>
      <c r="K21" s="39" t="s">
        <v>63</v>
      </c>
      <c r="L21" s="40"/>
      <c r="M21" s="40"/>
      <c r="N21" s="41"/>
      <c r="O21" s="42"/>
      <c r="P21" s="43"/>
      <c r="Q21" s="43"/>
      <c r="R21" s="34"/>
    </row>
    <row r="22" spans="1:21" x14ac:dyDescent="0.25">
      <c r="A22" s="33" t="s">
        <v>10</v>
      </c>
      <c r="G22" s="1" t="s">
        <v>24</v>
      </c>
      <c r="H22" s="1"/>
      <c r="I22" s="2">
        <f>I14-(SUM(I15:I21))</f>
        <v>572.8220457000001</v>
      </c>
      <c r="K22" s="61" t="s">
        <v>66</v>
      </c>
      <c r="L22" s="61"/>
      <c r="M22" s="61" t="s">
        <v>67</v>
      </c>
      <c r="N22" s="61"/>
      <c r="O22" s="61" t="s">
        <v>65</v>
      </c>
      <c r="P22" s="61"/>
      <c r="Q22" s="61"/>
      <c r="R22" s="61"/>
    </row>
    <row r="23" spans="1:21" x14ac:dyDescent="0.25">
      <c r="G23" s="1" t="s">
        <v>19</v>
      </c>
      <c r="H23" s="1">
        <f>1/12</f>
        <v>8.3333333333333329E-2</v>
      </c>
      <c r="I23" s="57">
        <f>H23*D20</f>
        <v>850</v>
      </c>
      <c r="K23" s="61">
        <v>930.54</v>
      </c>
      <c r="L23" s="61"/>
      <c r="M23" s="61">
        <v>1109.74</v>
      </c>
      <c r="N23" s="61"/>
      <c r="O23" s="61" t="s">
        <v>68</v>
      </c>
      <c r="P23" s="61"/>
      <c r="Q23" s="61"/>
      <c r="R23" s="61"/>
    </row>
    <row r="24" spans="1:21" x14ac:dyDescent="0.25">
      <c r="A24" s="3" t="s">
        <v>11</v>
      </c>
      <c r="B24" s="2"/>
      <c r="C24" s="1"/>
      <c r="D24" s="2">
        <f>IF(D18&lt;=D19,0.000001,D18)</f>
        <v>27500</v>
      </c>
      <c r="G24" s="1" t="s">
        <v>23</v>
      </c>
      <c r="H24" s="1"/>
      <c r="I24" s="2">
        <f>I23+I22</f>
        <v>1422.8220457000002</v>
      </c>
      <c r="K24" s="61">
        <f>M23</f>
        <v>1109.74</v>
      </c>
      <c r="L24" s="61"/>
      <c r="M24" s="61"/>
      <c r="N24" s="61"/>
      <c r="O24" s="60">
        <v>291.67</v>
      </c>
      <c r="P24" s="60"/>
      <c r="Q24" s="60"/>
      <c r="R24" s="60"/>
    </row>
    <row r="25" spans="1:21" x14ac:dyDescent="0.25">
      <c r="A25" s="3" t="s">
        <v>26</v>
      </c>
      <c r="B25" s="57">
        <f>IF(D20&lt;=0,0.0000001,D20)</f>
        <v>10200</v>
      </c>
      <c r="C25" s="5">
        <v>0.221</v>
      </c>
      <c r="D25" s="2">
        <f>B25*C25</f>
        <v>2254.1999999999998</v>
      </c>
      <c r="G25" s="1" t="s">
        <v>21</v>
      </c>
      <c r="H25" s="1"/>
      <c r="I25" s="2">
        <f>VLOOKUP(I24,dohodninska_lestvica!A9:D13,3)</f>
        <v>113.33</v>
      </c>
    </row>
    <row r="26" spans="1:21" x14ac:dyDescent="0.25">
      <c r="A26" s="3" t="s">
        <v>27</v>
      </c>
      <c r="B26" s="2">
        <f>B25-D25</f>
        <v>7945.8</v>
      </c>
      <c r="C26" s="52">
        <f>H28</f>
        <v>0.21021457517187248</v>
      </c>
      <c r="D26" s="2">
        <f>B26*C26</f>
        <v>1670.3229714006643</v>
      </c>
      <c r="G26" s="1" t="s">
        <v>22</v>
      </c>
      <c r="H26" s="1"/>
      <c r="I26" s="2">
        <f>VLOOKUP(I24,dohodninska_lestvica!A9:D13,4)*(I24-VLOOKUP(I24,dohodninska_lestvica!A9:D13,1))</f>
        <v>185.76793188200006</v>
      </c>
    </row>
    <row r="27" spans="1:21" x14ac:dyDescent="0.25">
      <c r="A27" s="54" t="s">
        <v>12</v>
      </c>
      <c r="B27" s="55"/>
      <c r="C27" s="54"/>
      <c r="D27" s="53">
        <f>D24-D25-D26</f>
        <v>23575.477028599336</v>
      </c>
      <c r="G27" s="1" t="s">
        <v>20</v>
      </c>
      <c r="H27" s="1"/>
      <c r="I27" s="2">
        <f>I25+I26</f>
        <v>299.09793188200007</v>
      </c>
    </row>
    <row r="28" spans="1:21" x14ac:dyDescent="0.25">
      <c r="A28" s="3" t="s">
        <v>13</v>
      </c>
      <c r="B28" s="2">
        <f>B25</f>
        <v>10200</v>
      </c>
      <c r="C28" s="5">
        <v>0.161</v>
      </c>
      <c r="D28" s="2">
        <f>B28*C28</f>
        <v>1642.2</v>
      </c>
      <c r="G28" s="50" t="s">
        <v>72</v>
      </c>
      <c r="H28" s="51">
        <f>I27/I24</f>
        <v>0.21021457517187248</v>
      </c>
    </row>
    <row r="29" spans="1:21" x14ac:dyDescent="0.25">
      <c r="A29" s="3" t="s">
        <v>14</v>
      </c>
      <c r="B29" s="7"/>
      <c r="C29" s="3"/>
      <c r="D29" s="7">
        <f>D24+D28</f>
        <v>29142.2</v>
      </c>
      <c r="F29" s="10"/>
      <c r="G29" s="8"/>
    </row>
    <row r="30" spans="1:21" x14ac:dyDescent="0.25">
      <c r="G30" s="23"/>
    </row>
    <row r="40" spans="5:7" x14ac:dyDescent="0.25">
      <c r="E40" s="10"/>
      <c r="F40" s="10"/>
      <c r="G40" s="8"/>
    </row>
    <row r="41" spans="5:7" x14ac:dyDescent="0.25">
      <c r="G41" s="23"/>
    </row>
  </sheetData>
  <mergeCells count="9">
    <mergeCell ref="K24:L24"/>
    <mergeCell ref="M24:N24"/>
    <mergeCell ref="O24:R24"/>
    <mergeCell ref="K22:L22"/>
    <mergeCell ref="M22:N22"/>
    <mergeCell ref="O22:R22"/>
    <mergeCell ref="K23:L23"/>
    <mergeCell ref="M23:N23"/>
    <mergeCell ref="O23:R23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odpravnina</vt:lpstr>
      <vt:lpstr>upokojitvi</vt:lpstr>
      <vt:lpstr>dohodninska_lestvica</vt:lpstr>
      <vt:lpstr>osebne_olajšave</vt:lpstr>
      <vt:lpstr>odpravnina_resena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2019-10-30T14:34:33Z</dcterms:created>
  <dcterms:modified xsi:type="dcterms:W3CDTF">2020-11-02T04:07:53Z</dcterms:modified>
</cp:coreProperties>
</file>